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N1uTyIRcTnqgvY9u0mJUl9eHkmMpQZZcidiIMYtWyjsjK0GWc2LHrW23Lo8KoPjKWeqMJ3ALzqfJCpeqq+6DMA==" workbookSaltValue="GQCGAHDHO7gKiBNTUrm9z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T14" i="20"/>
  <c r="BF25" i="8"/>
  <c r="AY14" i="8"/>
  <c r="BD9" i="8"/>
  <c r="BF9" i="8"/>
  <c r="C30" i="7"/>
  <c r="AO14" i="21"/>
  <c r="AP14" i="16"/>
  <c r="T23" i="17"/>
  <c r="T26" i="17" s="1"/>
  <c r="T30" i="17" s="1"/>
  <c r="BG16" i="13"/>
  <c r="BE17" i="13"/>
  <c r="BE16" i="13"/>
  <c r="X32" i="20"/>
  <c r="G30" i="14"/>
  <c r="G23" i="14"/>
  <c r="BF18" i="8" l="1"/>
  <c r="J18" i="7" s="1"/>
  <c r="BF17" i="8"/>
  <c r="BD12" i="8"/>
  <c r="Z14" i="17"/>
  <c r="R8" i="9"/>
  <c r="AA28" i="16"/>
  <c r="X22" i="17"/>
  <c r="X10" i="17"/>
  <c r="X18" i="17"/>
  <c r="X18" i="20"/>
  <c r="X20" i="20"/>
  <c r="V16" i="16"/>
  <c r="V12" i="16"/>
  <c r="T19" i="20"/>
  <c r="X25" i="16"/>
  <c r="X30" i="16" s="1"/>
  <c r="S12" i="14"/>
  <c r="V12" i="14" s="1"/>
  <c r="S17" i="14"/>
  <c r="V17" i="14" s="1"/>
  <c r="R10" i="14"/>
  <c r="R17" i="14"/>
  <c r="R25" i="14"/>
  <c r="AM9" i="11"/>
  <c r="T21" i="11"/>
  <c r="T29" i="11"/>
  <c r="T9" i="11"/>
  <c r="S16" i="14"/>
  <c r="V16" i="14" s="1"/>
  <c r="T20" i="11"/>
  <c r="AA10" i="16"/>
  <c r="X12" i="17"/>
  <c r="X9" i="17"/>
  <c r="X22" i="20"/>
  <c r="V12" i="21"/>
  <c r="V18" i="16"/>
  <c r="V21" i="16"/>
  <c r="L11" i="2"/>
  <c r="U13" i="17"/>
  <c r="X16" i="16"/>
  <c r="X23" i="16" s="1"/>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BI18" i="16"/>
  <c r="B29" i="6"/>
  <c r="AN9" i="11"/>
  <c r="K9" i="7"/>
  <c r="AO11" i="11"/>
  <c r="AL9" i="11"/>
  <c r="H12" i="2"/>
  <c r="H10" i="2"/>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E11" i="6"/>
  <c r="E28" i="6"/>
  <c r="AL11" i="11"/>
  <c r="B11" i="6"/>
  <c r="J21" i="2"/>
  <c r="AN11" i="11"/>
  <c r="AM21" i="11"/>
  <c r="AN13" i="11"/>
  <c r="B21" i="6"/>
  <c r="J12" i="2"/>
  <c r="H9" i="2"/>
  <c r="D19" i="6"/>
  <c r="BI17" i="16"/>
  <c r="L11" i="14"/>
  <c r="E20" i="6"/>
  <c r="H16" i="2"/>
  <c r="T10" i="2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J31" i="8"/>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E17" i="6"/>
  <c r="D17" i="2"/>
  <c r="L9" i="14"/>
  <c r="C29" i="6"/>
  <c r="I29" i="12" s="1"/>
  <c r="AL10" i="11"/>
  <c r="C10" i="6"/>
  <c r="C9" i="6"/>
  <c r="E16" i="6"/>
  <c r="K16" i="12" s="1"/>
  <c r="E23" i="2"/>
  <c r="F23" i="2" s="1"/>
  <c r="F16" i="2"/>
  <c r="AL22" i="11"/>
  <c r="H20" i="2"/>
  <c r="H18" i="7"/>
  <c r="AN18" i="11"/>
  <c r="H18" i="2"/>
  <c r="BI16" i="16"/>
  <c r="G23" i="2"/>
  <c r="J20" i="2"/>
  <c r="C20" i="6"/>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M13" i="11"/>
  <c r="J9" i="2"/>
  <c r="AO9" i="17"/>
  <c r="B22" i="6"/>
  <c r="AN22" i="11"/>
  <c r="L22" i="14"/>
  <c r="C22" i="6"/>
  <c r="J22" i="2"/>
  <c r="J20" i="7"/>
  <c r="BC33" i="21"/>
  <c r="BE14" i="19"/>
  <c r="Q31" i="19"/>
  <c r="X31" i="19"/>
  <c r="AF31" i="19"/>
  <c r="AN31" i="19"/>
  <c r="BI31" i="19"/>
  <c r="AY31" i="19"/>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J18" i="12" l="1"/>
  <c r="K9" i="12"/>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BK21" i="11"/>
  <c r="BK11" i="11"/>
  <c r="V11" i="11"/>
  <c r="AZ18" i="11"/>
  <c r="BI25" i="11"/>
  <c r="AP10" i="21"/>
  <c r="BM12" i="11"/>
  <c r="AP21" i="20"/>
  <c r="V13" i="11"/>
  <c r="BH20" i="16"/>
  <c r="V9" i="11"/>
  <c r="BJ11" i="11"/>
  <c r="BI19" i="11"/>
  <c r="BH22" i="16"/>
  <c r="BJ16" i="11"/>
  <c r="R10" i="21"/>
  <c r="R14" i="21" s="1"/>
  <c r="R31" i="21" s="1"/>
  <c r="AP22" i="20"/>
  <c r="BF11" i="11"/>
  <c r="BH21" i="16"/>
  <c r="BL9" i="11"/>
  <c r="BH18" i="16"/>
  <c r="BF19" i="11"/>
  <c r="BJ19" i="11"/>
  <c r="BL18" i="11"/>
  <c r="BI28" i="11"/>
  <c r="BK12" i="11"/>
  <c r="BF25" i="11"/>
  <c r="S18" i="16"/>
  <c r="AZ29" i="11"/>
  <c r="BK16" i="11"/>
  <c r="BJ21" i="11"/>
  <c r="V21" i="11"/>
  <c r="BF22" i="11"/>
  <c r="BH9" i="11"/>
  <c r="BI16" i="11"/>
  <c r="BJ29" i="11"/>
  <c r="BM13" i="11"/>
  <c r="BJ12" i="11"/>
  <c r="BI18" i="11"/>
  <c r="BG9" i="11"/>
  <c r="S28" i="14"/>
  <c r="V28" i="14" s="1"/>
  <c r="BL11" i="11"/>
  <c r="BH28" i="16"/>
  <c r="R18" i="20"/>
  <c r="R23" i="20" s="1"/>
  <c r="V29" i="11"/>
  <c r="BL21" i="11"/>
  <c r="V22" i="11"/>
  <c r="BK18" i="11"/>
  <c r="AZ21" i="11"/>
  <c r="T18" i="16"/>
  <c r="AO28" i="17"/>
  <c r="BL29" i="11"/>
  <c r="BJ25" i="11"/>
  <c r="T16" i="16"/>
  <c r="AZ16" i="11"/>
  <c r="AZ23" i="11" s="1"/>
  <c r="BW20" i="20"/>
  <c r="BU16" i="17"/>
  <c r="BV19" i="16"/>
  <c r="BW19" i="20"/>
  <c r="BV18" i="16"/>
  <c r="X20" i="16"/>
  <c r="BW18" i="20"/>
  <c r="BU10" i="17"/>
  <c r="BV12" i="16"/>
  <c r="BW25" i="20"/>
  <c r="BW12" i="20"/>
  <c r="BU22" i="17"/>
  <c r="BV16" i="16"/>
  <c r="T18" i="11"/>
  <c r="S20" i="14"/>
  <c r="V20" i="14" s="1"/>
  <c r="BH16" i="11"/>
  <c r="P18" i="17"/>
  <c r="BF29" i="11"/>
  <c r="BK19" i="11"/>
  <c r="BG29" i="11"/>
  <c r="Q10" i="21"/>
  <c r="BK25" i="11"/>
  <c r="BH20" i="11"/>
  <c r="AP16" i="20"/>
  <c r="AZ13" i="11"/>
  <c r="V20" i="11"/>
  <c r="BL25" i="11"/>
  <c r="BG19" i="11"/>
  <c r="AZ9" i="11"/>
  <c r="BM20" i="11"/>
  <c r="BJ28" i="11"/>
  <c r="BU28" i="17"/>
  <c r="BU11" i="17"/>
  <c r="BW9" i="20"/>
  <c r="BU21" i="17"/>
  <c r="BV17" i="16"/>
  <c r="BW17" i="20"/>
  <c r="BV25" i="16"/>
  <c r="X21" i="16"/>
  <c r="BW11" i="20"/>
  <c r="BU9" i="17"/>
  <c r="S21" i="17"/>
  <c r="BU19" i="17"/>
  <c r="BW28" i="20"/>
  <c r="BW10" i="20"/>
  <c r="BU13" i="17"/>
  <c r="BV22" i="16"/>
  <c r="BW21" i="20"/>
  <c r="BU12" i="17"/>
  <c r="BV9" i="16"/>
  <c r="AA29" i="16"/>
  <c r="S25" i="17"/>
  <c r="AA18" i="16"/>
  <c r="AZ20" i="11"/>
  <c r="AZ12" i="11"/>
  <c r="S11" i="14"/>
  <c r="V11" i="14" s="1"/>
  <c r="AZ11" i="11"/>
  <c r="BG12" i="11"/>
  <c r="Q18" i="17"/>
  <c r="BI20" i="11"/>
  <c r="BH10" i="11"/>
  <c r="BI9" i="11"/>
  <c r="AQ10" i="21"/>
  <c r="BL28" i="11"/>
  <c r="AO29" i="17"/>
  <c r="BL10" i="11"/>
  <c r="S10" i="17"/>
  <c r="BH10" i="16"/>
  <c r="BI29" i="11"/>
  <c r="BH11" i="11"/>
  <c r="BG17" i="11"/>
  <c r="P17" i="11" s="1"/>
  <c r="S18" i="17"/>
  <c r="BM21" i="11"/>
  <c r="BM9" i="11"/>
  <c r="AO25" i="17"/>
  <c r="BH12" i="16"/>
  <c r="BJ17" i="11"/>
  <c r="BK22" i="11"/>
  <c r="BL17" i="11"/>
  <c r="BH22" i="11"/>
  <c r="L10" i="2"/>
  <c r="L28" i="2"/>
  <c r="X21" i="20"/>
  <c r="S16" i="17"/>
  <c r="S17" i="17"/>
  <c r="L12" i="2"/>
  <c r="L25" i="2"/>
  <c r="L13" i="2"/>
  <c r="X10" i="21"/>
  <c r="L19" i="2"/>
  <c r="U9" i="17"/>
  <c r="U31" i="17" s="1"/>
  <c r="L9" i="2"/>
  <c r="V25" i="16"/>
  <c r="X13" i="16"/>
  <c r="BH11" i="16"/>
  <c r="BK13" i="11"/>
  <c r="BH19" i="16"/>
  <c r="BM29" i="11"/>
  <c r="BH19" i="11"/>
  <c r="BK9" i="11"/>
  <c r="S9" i="17"/>
  <c r="BI10" i="11"/>
  <c r="BM25" i="11"/>
  <c r="V28" i="11"/>
  <c r="BJ20" i="11"/>
  <c r="BG16" i="11"/>
  <c r="BH13" i="11"/>
  <c r="BL13" i="11"/>
  <c r="BH18" i="11"/>
  <c r="BM16" i="11"/>
  <c r="Q16" i="11" s="1"/>
  <c r="AP26" i="21"/>
  <c r="AP18" i="20"/>
  <c r="BG21" i="11"/>
  <c r="BU25" i="17"/>
  <c r="BV28" i="16"/>
  <c r="BV13" i="16"/>
  <c r="BW13" i="20"/>
  <c r="BV21" i="16"/>
  <c r="BU29" i="17"/>
  <c r="BV11" i="16"/>
  <c r="BW16" i="20"/>
  <c r="BU20" i="17"/>
  <c r="U10" i="17"/>
  <c r="BW29" i="20"/>
  <c r="BV10" i="16"/>
  <c r="BW22" i="20"/>
  <c r="BU18" i="17"/>
  <c r="BV29" i="16"/>
  <c r="S11" i="17"/>
  <c r="BU17" i="17"/>
  <c r="BU33" i="17" s="1"/>
  <c r="BV20" i="16"/>
  <c r="AZ22" i="11"/>
  <c r="AA20" i="16"/>
  <c r="R28" i="14"/>
  <c r="AZ17" i="11"/>
  <c r="X16" i="17"/>
  <c r="BF20" i="11"/>
  <c r="T17" i="11"/>
  <c r="S16" i="16"/>
  <c r="P16" i="17"/>
  <c r="BL20" i="11"/>
  <c r="BF12" i="11"/>
  <c r="BL16" i="11"/>
  <c r="BH25" i="16"/>
  <c r="BH21" i="11"/>
  <c r="BK20" i="11"/>
  <c r="AZ25" i="11"/>
  <c r="AZ30" i="11" s="1"/>
  <c r="BJ10" i="11"/>
  <c r="BK17" i="11"/>
  <c r="Q16" i="17"/>
  <c r="BM18" i="11"/>
  <c r="BF16" i="11"/>
  <c r="BH17" i="11"/>
  <c r="BL22" i="11"/>
  <c r="BL23" i="11" s="1"/>
  <c r="AQ12" i="21"/>
  <c r="BI22" i="11"/>
  <c r="BH25" i="11"/>
  <c r="BK10" i="11"/>
  <c r="BI21" i="11"/>
  <c r="L22" i="2"/>
  <c r="L29" i="2"/>
  <c r="L16" i="2"/>
  <c r="L17" i="2"/>
  <c r="X19" i="16"/>
  <c r="L18" i="2"/>
  <c r="L20" i="2"/>
  <c r="AA11" i="16"/>
  <c r="L21" i="2"/>
  <c r="AA9" i="16"/>
  <c r="V9" i="16"/>
  <c r="T28" i="11"/>
  <c r="T19" i="11"/>
  <c r="R22" i="14"/>
  <c r="R23" i="14" s="1"/>
  <c r="R11" i="14"/>
  <c r="S21" i="14"/>
  <c r="V21" i="14" s="1"/>
  <c r="S10" i="14"/>
  <c r="V10" i="14" s="1"/>
  <c r="AP14" i="20"/>
  <c r="AO13" i="17"/>
  <c r="AO18" i="17"/>
  <c r="AM20" i="11"/>
  <c r="AM22" i="11"/>
  <c r="AM25" i="11"/>
  <c r="AQ26" i="21"/>
  <c r="AO26" i="17"/>
  <c r="V10" i="21"/>
  <c r="V14" i="21" s="1"/>
  <c r="V31" i="21" s="1"/>
  <c r="AO17" i="17"/>
  <c r="P25" i="11"/>
  <c r="AO12" i="17"/>
  <c r="AM11" i="11"/>
  <c r="AO21" i="17"/>
  <c r="BH30" i="16"/>
  <c r="X22" i="16"/>
  <c r="X12" i="16"/>
  <c r="X9" i="16"/>
  <c r="X31" i="16" s="1"/>
  <c r="AZ28" i="11"/>
  <c r="S22" i="17"/>
  <c r="X17" i="20"/>
  <c r="U10" i="21"/>
  <c r="X11" i="17"/>
  <c r="X21" i="17"/>
  <c r="X17" i="17"/>
  <c r="X25" i="17"/>
  <c r="T16" i="11"/>
  <c r="S9" i="14"/>
  <c r="V9" i="14" s="1"/>
  <c r="T11" i="11"/>
  <c r="T25" i="11"/>
  <c r="T13" i="11"/>
  <c r="R29" i="14"/>
  <c r="R19" i="14"/>
  <c r="R12" i="14"/>
  <c r="S29" i="14"/>
  <c r="V29" i="14" s="1"/>
  <c r="S19" i="14"/>
  <c r="V19" i="14" s="1"/>
  <c r="S13" i="17"/>
  <c r="V16" i="20"/>
  <c r="V23" i="20" s="1"/>
  <c r="V26" i="20" s="1"/>
  <c r="V19" i="16"/>
  <c r="V10" i="16"/>
  <c r="AA12" i="21"/>
  <c r="X19" i="20"/>
  <c r="T18" i="20"/>
  <c r="AA16" i="16"/>
  <c r="X13" i="17"/>
  <c r="AA17" i="16"/>
  <c r="AA25" i="16"/>
  <c r="V13" i="16"/>
  <c r="T22" i="11"/>
  <c r="T12" i="11"/>
  <c r="R18" i="14"/>
  <c r="S18" i="14"/>
  <c r="V18" i="14" s="1"/>
  <c r="S13" i="14"/>
  <c r="V13" i="14" s="1"/>
  <c r="V14" i="14" s="1"/>
  <c r="R13" i="14"/>
  <c r="BF23" i="13"/>
  <c r="I16" i="12"/>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S23" i="16"/>
  <c r="S31" i="16" s="1"/>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BG30" i="19"/>
  <c r="AJ14" i="21"/>
  <c r="F14" i="21"/>
  <c r="F31" i="21" s="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D31" i="12"/>
  <c r="I18" i="12"/>
  <c r="Q21" i="11"/>
  <c r="Q10" i="11"/>
  <c r="D11" i="6"/>
  <c r="E11" i="3"/>
  <c r="BC26" i="8"/>
  <c r="BF26" i="8" s="1"/>
  <c r="Q12" i="11"/>
  <c r="R16" i="14"/>
  <c r="BH17" i="16"/>
  <c r="AO27" i="17"/>
  <c r="AM18" i="11"/>
  <c r="BI17" i="1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M30" i="14"/>
  <c r="P30" i="14"/>
  <c r="O14" i="11"/>
  <c r="O31" i="11"/>
  <c r="AU32" i="17"/>
  <c r="BR32" i="16"/>
  <c r="BP32" i="16"/>
  <c r="AX32" i="21"/>
  <c r="O12" i="11"/>
  <c r="H32" i="17"/>
  <c r="AW32" i="11"/>
  <c r="AV32" i="21"/>
  <c r="K32" i="20"/>
  <c r="AQ17" i="11" l="1"/>
  <c r="X14" i="16"/>
  <c r="V31" i="20"/>
  <c r="Q20" i="11"/>
  <c r="BV14" i="16"/>
  <c r="BW33" i="20"/>
  <c r="P29" i="11"/>
  <c r="Q9" i="11"/>
  <c r="BF23" i="11"/>
  <c r="Q29" i="11"/>
  <c r="Q17" i="11"/>
  <c r="BJ23" i="11"/>
  <c r="Q25" i="11"/>
  <c r="BV23" i="16"/>
  <c r="BV26" i="16" s="1"/>
  <c r="BV30" i="16" s="1"/>
  <c r="P21" i="11"/>
  <c r="BK23" i="11"/>
  <c r="AZ14" i="11"/>
  <c r="AZ31" i="11"/>
  <c r="S30" i="14"/>
  <c r="S14" i="14"/>
  <c r="BI23" i="11"/>
  <c r="P9" i="11"/>
  <c r="U14" i="17"/>
  <c r="Q31" i="20"/>
  <c r="P20" i="11"/>
  <c r="Q23" i="17"/>
  <c r="Q31" i="17" s="1"/>
  <c r="P23" i="17"/>
  <c r="P31" i="17" s="1"/>
  <c r="P13" i="11"/>
  <c r="Q13" i="11"/>
  <c r="BK14" i="11"/>
  <c r="BK31" i="11" s="1"/>
  <c r="AZ26" i="11"/>
  <c r="S26" i="14"/>
  <c r="K22" i="12"/>
  <c r="AF31" i="11"/>
  <c r="AE31" i="11"/>
  <c r="I21" i="12"/>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<sst xmlns="http://schemas.openxmlformats.org/spreadsheetml/2006/main" count="2682" uniqueCount="1193">
  <si>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</si>
  <si>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</si>
  <si>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</si>
  <si>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</si>
  <si>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</si>
  <si>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</si>
  <si>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</si>
  <si>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</si>
  <si>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</si>
  <si>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</si>
  <si>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</si>
  <si>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</si>
  <si>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</si>
  <si>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</si>
  <si>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</si>
  <si>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</si>
  <si>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</si>
  <si>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</si>
  <si>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</si>
  <si>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</si>
  <si>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</si>
  <si>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</si>
  <si>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</si>
  <si>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</si>
  <si>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</si>
  <si>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</si>
  <si>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</si>
  <si>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</si>
  <si>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</si>
  <si>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</si>
  <si>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</si>
  <si>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</si>
  <si>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</si>
  <si>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</si>
  <si>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</si>
  <si>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</si>
  <si>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</si>
  <si>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</si>
  <si>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</si>
  <si>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</si>
  <si>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</si>
  <si>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</si>
  <si>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</si>
  <si>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</si>
  <si>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</si>
  <si>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</si>
  <si>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</si>
  <si>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</si>
  <si>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</si>
  <si>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</si>
  <si>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</si>
  <si>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</si>
  <si>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</si>
  <si>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</si>
  <si>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</si>
  <si>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</si>
  <si>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</si>
  <si>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</si>
  <si>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</si>
  <si>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</si>
  <si>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</si>
  <si>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</si>
  <si>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</si>
  <si>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</si>
  <si>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</si>
  <si>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</si>
  <si>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</si>
  <si>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</si>
  <si>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</si>
  <si>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</si>
  <si>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</si>
  <si>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</si>
  <si>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</si>
  <si>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</si>
  <si>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</si>
  <si>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</si>
  <si>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</si>
  <si>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</si>
  <si>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</si>
  <si>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</si>
  <si>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</si>
  <si>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</si>
  <si>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</si>
  <si>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</si>
  <si>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</si>
  <si>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</si>
  <si>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</si>
  <si>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</si>
  <si>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</si>
  <si>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</si>
  <si>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</si>
  <si>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</si>
  <si>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</si>
  <si>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</si>
  <si>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</si>
  <si>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</si>
  <si>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</si>
  <si>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</si>
  <si>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</si>
  <si>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</si>
  <si>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</si>
  <si>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</si>
  <si>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</si>
  <si>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</si>
  <si>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</si>
  <si>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</si>
  <si>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</si>
  <si>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</si>
  <si>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</si>
  <si>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</si>
  <si>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</si>
  <si>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</si>
  <si>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</si>
  <si>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</si>
  <si>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</si>
  <si>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</si>
  <si>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</si>
  <si>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</si>
  <si>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</si>
  <si>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</si>
  <si>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</si>
  <si>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</si>
  <si>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</si>
  <si>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</si>
  <si>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</si>
  <si>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</si>
  <si>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</si>
  <si>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</si>
  <si>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</si>
  <si>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</si>
  <si>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</si>
  <si>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</si>
  <si>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</si>
  <si>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</si>
  <si>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</si>
  <si>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</si>
  <si>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</si>
  <si>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</si>
  <si>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</si>
  <si>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</si>
  <si>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</si>
  <si>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</si>
  <si>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</si>
  <si>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</si>
  <si>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</si>
  <si>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</si>
  <si>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</si>
  <si>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</si>
  <si>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</si>
  <si>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</si>
  <si>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</si>
  <si>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</si>
  <si>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</si>
  <si>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</si>
  <si>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</si>
  <si>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</si>
  <si>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</si>
  <si>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</si>
  <si>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</si>
  <si>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</si>
  <si>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</si>
  <si>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</si>
  <si>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</si>
  <si>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</si>
  <si>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</si>
  <si>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</si>
  <si>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</si>
  <si>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</si>
  <si>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</si>
  <si>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</si>
  <si>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</si>
  <si>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</si>
  <si>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</si>
  <si>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</si>
  <si>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</si>
  <si>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</si>
  <si>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</si>
  <si>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</si>
  <si>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</si>
  <si>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</si>
  <si>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</si>
  <si>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</si>
  <si>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</si>
  <si>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</si>
  <si>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</si>
  <si>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</si>
  <si>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</si>
  <si>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</si>
  <si>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</si>
  <si>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</si>
  <si>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</si>
  <si>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</si>
  <si>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</si>
  <si>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</si>
  <si>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</si>
  <si>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</si>
  <si>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</si>
  <si>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</si>
  <si>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</si>
  <si>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</si>
  <si>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</si>
  <si>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</si>
  <si>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</si>
  <si>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</si>
  <si>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</si>
  <si>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</si>
  <si>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</si>
  <si>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</si>
  <si>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</si>
  <si>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</si>
  <si>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</si>
  <si>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</si>
  <si>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</si>
  <si>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</si>
  <si>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</si>
  <si>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</si>
  <si>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</si>
  <si>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</si>
  <si>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</si>
  <si>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</si>
  <si>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</si>
  <si>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</si>
  <si>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</si>
  <si>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</si>
  <si>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</si>
  <si>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</si>
  <si>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</si>
  <si>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</si>
  <si>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</si>
  <si>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</si>
  <si>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</si>
  <si>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</si>
  <si>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</si>
  <si>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</si>
  <si>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</si>
  <si>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</si>
  <si>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</si>
  <si>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</si>
  <si>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</si>
  <si>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</si>
  <si>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</si>
  <si>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</si>
  <si>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</si>
  <si>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</si>
  <si>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</si>
  <si>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</si>
  <si>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</si>
  <si>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</si>
  <si>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</si>
  <si>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</si>
  <si>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</si>
  <si>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</si>
  <si>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</si>
  <si>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</si>
  <si>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</si>
  <si>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</si>
  <si>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</si>
  <si>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</si>
  <si>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</si>
  <si>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</si>
  <si>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</si>
  <si>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</si>
  <si>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</si>
  <si>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</si>
  <si>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</si>
  <si>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</si>
  <si>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</si>
  <si>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</si>
  <si>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</si>
  <si>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</si>
  <si>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</si>
  <si>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</si>
  <si>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</si>
  <si>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</si>
  <si>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</si>
  <si>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</si>
  <si>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</si>
  <si>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</si>
  <si>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</si>
  <si>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</si>
  <si>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</si>
  <si>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</si>
  <si>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</si>
  <si>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</si>
  <si>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</si>
  <si>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</si>
  <si>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</si>
  <si>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</si>
  <si>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</si>
  <si>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</si>
  <si>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</si>
  <si>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</si>
  <si>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</si>
  <si>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</si>
  <si>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</si>
  <si>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</si>
  <si>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</si>
  <si>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</si>
  <si>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</si>
  <si>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</si>
  <si>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</si>
  <si>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</si>
  <si>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</si>
  <si>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</si>
  <si>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</si>
  <si>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</si>
  <si>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</si>
  <si>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</si>
  <si>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</si>
  <si>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</si>
  <si>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</si>
  <si>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</si>
  <si>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</si>
  <si>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</si>
  <si>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</si>
  <si>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</si>
  <si>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</si>
  <si>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</si>
  <si>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</si>
  <si>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</si>
  <si>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</si>
  <si>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</si>
  <si>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</si>
  <si>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</si>
  <si>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</si>
  <si>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</si>
  <si>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</si>
  <si>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</si>
  <si>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</si>
  <si>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</si>
  <si>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</si>
  <si>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</si>
  <si>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</si>
  <si>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</si>
  <si>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</si>
  <si>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</si>
  <si>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</si>
  <si>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</si>
  <si>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</si>
  <si>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</si>
  <si>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</si>
  <si>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</si>
  <si>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</si>
  <si>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</si>
  <si>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</si>
  <si>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</si>
  <si>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</si>
  <si>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</si>
  <si>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</si>
  <si>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</si>
  <si>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</si>
  <si>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</si>
  <si>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</si>
  <si>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</si>
  <si>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</si>
  <si>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</si>
  <si>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</si>
  <si>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</si>
  <si>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</si>
  <si>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</si>
  <si>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</si>
  <si>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</si>
  <si>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</si>
  <si>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</si>
  <si>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</si>
  <si>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</si>
  <si>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</si>
  <si>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</si>
  <si>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</si>
  <si>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</si>
  <si>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</si>
  <si>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</si>
  <si>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</si>
  <si>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</si>
  <si>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</si>
  <si>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</si>
  <si>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</si>
  <si>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</si>
  <si>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</si>
  <si>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</si>
  <si>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</si>
  <si>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</si>
  <si>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</si>
  <si>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</si>
  <si>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</si>
  <si>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</si>
  <si>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</si>
  <si>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</si>
  <si>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</si>
  <si>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</si>
  <si>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</si>
  <si>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</si>
  <si>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</si>
  <si>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</si>
  <si>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</si>
  <si>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</si>
  <si>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</si>
  <si>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</si>
  <si>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</si>
  <si>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</si>
  <si>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</si>
  <si>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</si>
  <si>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</si>
  <si>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</si>
  <si>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</si>
  <si>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</si>
  <si>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</si>
  <si>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</si>
  <si>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</si>
  <si>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</si>
  <si>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</si>
  <si>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</si>
  <si>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</si>
  <si>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</si>
  <si>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</si>
  <si>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</si>
  <si>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</si>
  <si>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</si>
  <si>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</si>
  <si>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</si>
  <si>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</si>
  <si>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</si>
  <si>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</si>
  <si>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</si>
  <si>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</si>
  <si>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</si>
  <si>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</si>
  <si>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</si>
  <si>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</si>
  <si>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</si>
  <si>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</si>
  <si>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</si>
  <si>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</si>
  <si>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</si>
  <si>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</si>
  <si>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</si>
  <si>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</si>
  <si>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</si>
  <si>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</si>
  <si>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</si>
  <si>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</si>
  <si>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</si>
  <si>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</si>
  <si>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</si>
  <si>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</si>
  <si>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</si>
  <si>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</si>
  <si>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</si>
  <si>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</si>
  <si>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</si>
  <si>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</si>
  <si>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</si>
  <si>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</si>
  <si>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</si>
  <si>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</si>
  <si>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</si>
  <si>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</si>
  <si>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</si>
  <si>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</si>
  <si>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</si>
  <si>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</si>
  <si>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</si>
  <si>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</si>
  <si>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</si>
  <si>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</si>
  <si>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</si>
  <si>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</si>
  <si>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</si>
  <si>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</si>
  <si>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</si>
  <si>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</si>
  <si>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</si>
  <si>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</si>
  <si>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</si>
  <si>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</si>
  <si>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</si>
  <si>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</si>
  <si>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</si>
  <si>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</si>
  <si>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</si>
  <si>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</si>
  <si>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</si>
  <si>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</si>
  <si>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</si>
  <si>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</si>
  <si>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</si>
  <si>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</si>
  <si>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</si>
  <si>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</si>
  <si>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</si>
  <si>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</si>
  <si>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</si>
  <si>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</si>
  <si>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</si>
  <si>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</si>
  <si>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</si>
  <si>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</si>
  <si>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</si>
  <si>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</si>
  <si>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</si>
  <si>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</si>
  <si>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</si>
  <si>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</si>
  <si>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</si>
  <si>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</si>
  <si>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</si>
  <si>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</si>
  <si>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</si>
  <si>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</si>
  <si>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</si>
  <si>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</si>
  <si>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</si>
  <si>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</si>
  <si>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</si>
  <si>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</si>
  <si>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</si>
  <si>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</si>
  <si>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</si>
  <si>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</si>
  <si>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</si>
  <si>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</si>
  <si>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</si>
  <si>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</si>
  <si>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</si>
  <si>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</si>
  <si>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</si>
  <si>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</si>
  <si>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</si>
  <si>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</si>
  <si>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</si>
  <si>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</si>
  <si>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</si>
  <si>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</si>
  <si>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</si>
  <si>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</si>
  <si>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</si>
  <si>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</si>
  <si>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</si>
  <si>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</si>
  <si>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</si>
  <si>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</si>
  <si>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</si>
  <si>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</si>
  <si>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</si>
  <si>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</si>
  <si>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</si>
  <si>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</si>
  <si>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</si>
  <si>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</si>
  <si>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</si>
  <si>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</si>
  <si>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</si>
  <si>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</si>
  <si>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</si>
  <si>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</si>
  <si>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</si>
  <si>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</si>
  <si>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</si>
  <si>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</si>
  <si>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</si>
  <si>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</si>
  <si>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</si>
  <si>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</si>
  <si>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</si>
  <si>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</si>
  <si>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</si>
  <si>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</si>
  <si>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</si>
  <si>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</si>
  <si>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</si>
  <si>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</si>
  <si>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</si>
  <si>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</si>
  <si>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</si>
  <si>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</si>
  <si>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</si>
  <si>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</si>
  <si>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</si>
  <si>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</si>
  <si>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</si>
  <si>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</si>
  <si>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</si>
  <si>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</si>
  <si>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</si>
  <si>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</si>
  <si>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</si>
  <si>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</si>
  <si>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</si>
  <si>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</si>
  <si>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</si>
  <si>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</si>
  <si>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</si>
  <si>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</si>
  <si>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</si>
  <si>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</si>
  <si>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</si>
  <si>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</si>
  <si>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</si>
  <si>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</si>
  <si>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</si>
  <si>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</si>
  <si>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</si>
  <si>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</si>
  <si>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</si>
  <si>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</si>
  <si>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</si>
  <si>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</si>
  <si>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</si>
  <si>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</si>
  <si>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</si>
  <si>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</si>
  <si>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</si>
  <si>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</si>
  <si>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</si>
  <si>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</si>
  <si>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</si>
  <si>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</si>
  <si>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</si>
  <si>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</si>
  <si>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</si>
  <si>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</si>
  <si>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</si>
  <si>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</si>
  <si>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</si>
  <si>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</si>
  <si>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</si>
  <si>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</si>
  <si>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</si>
  <si>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</si>
  <si>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</si>
  <si>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</si>
  <si>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</si>
  <si>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</si>
  <si>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</si>
  <si>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</si>
  <si>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</si>
  <si>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</si>
  <si>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</si>
  <si>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</si>
  <si>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</si>
  <si>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</si>
  <si>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</si>
  <si>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</si>
  <si>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</si>
  <si>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</si>
  <si>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</si>
  <si>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</si>
  <si>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</si>
  <si>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</si>
  <si>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</si>
  <si>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</si>
  <si>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</si>
  <si>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</si>
  <si>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</si>
  <si>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</si>
  <si>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</si>
  <si>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</si>
  <si>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</si>
  <si>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</si>
  <si>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</si>
  <si>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</si>
  <si>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</si>
  <si>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</si>
  <si>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</si>
  <si>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</si>
  <si>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</si>
  <si>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</si>
  <si>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</si>
  <si>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</si>
  <si>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</si>
  <si>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</si>
  <si>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</si>
  <si>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</si>
  <si>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</si>
  <si>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</si>
  <si>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</si>
  <si>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</si>
  <si>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</si>
  <si>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</si>
  <si>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</si>
  <si>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</si>
  <si>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</si>
  <si>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</si>
  <si>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</si>
  <si>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</si>
  <si>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</si>
  <si>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</si>
  <si>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</si>
  <si>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</si>
  <si>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</si>
  <si>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</si>
  <si>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</si>
  <si>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</si>
  <si>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</si>
  <si>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</si>
  <si>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</si>
  <si>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</si>
  <si>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</si>
  <si>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</si>
  <si>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</si>
  <si>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</si>
  <si>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</si>
  <si>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</si>
  <si>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</si>
  <si>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</si>
  <si>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</si>
  <si>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</si>
  <si>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</si>
  <si>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</si>
  <si>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</si>
  <si>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</si>
  <si>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</si>
  <si>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</si>
  <si>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</si>
  <si>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</si>
  <si>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</si>
  <si>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</si>
  <si>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</si>
  <si>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</si>
  <si>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</si>
  <si>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</si>
  <si>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</si>
  <si>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</si>
  <si>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</si>
  <si>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</si>
  <si>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</si>
  <si>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</si>
  <si>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</si>
  <si>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</si>
  <si>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</si>
  <si>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</si>
  <si>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</si>
  <si>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</si>
  <si>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</si>
  <si>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</si>
  <si>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</si>
  <si>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</si>
  <si>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</si>
  <si>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</si>
  <si>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</si>
  <si>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</si>
  <si>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</si>
  <si>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</si>
  <si>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</si>
  <si>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</si>
  <si>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</si>
  <si>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</si>
  <si>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</si>
  <si>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</si>
  <si>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</si>
  <si>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</si>
  <si>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</si>
  <si>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</si>
  <si>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</si>
  <si>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</si>
  <si>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</si>
  <si>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</si>
  <si>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</si>
  <si>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</si>
  <si>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</si>
  <si>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</si>
  <si>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</si>
  <si>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</si>
  <si>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</si>
  <si>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</si>
  <si>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</si>
  <si>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</si>
  <si>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</si>
  <si>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</si>
  <si>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</si>
  <si>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</si>
  <si>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</si>
  <si>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</si>
  <si>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</si>
  <si>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</si>
  <si>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</si>
  <si>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</si>
  <si>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</si>
  <si>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</si>
  <si>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</si>
  <si>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</si>
  <si>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</si>
  <si>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</si>
  <si>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</si>
  <si>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</si>
  <si>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</si>
  <si>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</si>
  <si>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</si>
  <si>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</si>
  <si>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</si>
  <si>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</si>
  <si>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</si>
  <si>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</si>
  <si>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</si>
  <si>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</si>
  <si>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</si>
  <si>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</si>
  <si>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</si>
  <si>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</si>
  <si>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</si>
  <si>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</si>
  <si>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</si>
  <si>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</si>
  <si>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</si>
  <si>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</si>
  <si>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</si>
  <si>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</si>
  <si>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</si>
  <si>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</si>
  <si>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</si>
  <si>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</si>
  <si>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</si>
  <si>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</si>
  <si>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</si>
  <si>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</si>
  <si>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</si>
  <si>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</si>
  <si>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</si>
  <si>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</si>
  <si>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</si>
  <si>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</si>
  <si>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</si>
  <si>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</si>
  <si>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</si>
  <si>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</si>
  <si>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</si>
  <si>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</si>
  <si>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</si>
  <si>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</si>
  <si>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</si>
  <si>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</si>
  <si>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</si>
  <si>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</si>
  <si>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</si>
  <si>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</si>
  <si>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</si>
  <si>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</si>
  <si>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</si>
  <si>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</si>
  <si>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</si>
  <si>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</si>
  <si>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</si>
  <si>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</si>
  <si>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</si>
  <si>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</si>
  <si>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</si>
  <si>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</si>
  <si>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</si>
  <si>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</si>
  <si>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</si>
  <si>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</si>
  <si>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</si>
  <si>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</si>
  <si>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</si>
  <si>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</si>
  <si>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</si>
  <si>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</si>
  <si>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</si>
  <si>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</si>
  <si>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</si>
  <si>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</si>
  <si>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</si>
  <si>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</si>
  <si>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</si>
  <si>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</si>
  <si>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</si>
  <si>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</si>
  <si>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</si>
  <si>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</si>
  <si>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</si>
  <si>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</si>
  <si>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</si>
  <si>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</si>
  <si>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</si>
  <si>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</si>
  <si>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</si>
  <si>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</si>
  <si>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</si>
  <si>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</si>
  <si>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</si>
  <si>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</si>
  <si>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</si>
  <si>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</si>
  <si>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</si>
  <si>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</si>
  <si>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</si>
  <si>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</si>
  <si>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</si>
  <si>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</si>
  <si>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</si>
  <si>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</si>
  <si>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</si>
  <si>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</si>
  <si>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</si>
  <si>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</si>
  <si>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</si>
  <si>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</si>
  <si>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</si>
  <si>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</si>
  <si>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</si>
  <si>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</si>
  <si>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</si>
  <si>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</si>
  <si>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</si>
  <si>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</si>
  <si>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</si>
  <si>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</si>
  <si>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</si>
  <si>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</si>
  <si>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</si>
  <si>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</si>
  <si>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</si>
  <si>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</si>
  <si>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</si>
  <si>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</si>
  <si>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</si>
  <si>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</si>
  <si>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</si>
  <si>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</si>
  <si>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</si>
  <si>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</si>
  <si>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</si>
  <si>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</si>
  <si>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</si>
  <si>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</si>
  <si>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</si>
  <si>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</si>
  <si>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</si>
  <si>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</si>
  <si>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</si>
  <si>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</si>
  <si>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</si>
  <si>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</si>
  <si>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</si>
  <si>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</si>
  <si>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</si>
  <si>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</si>
  <si>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</si>
  <si>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</si>
  <si>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</si>
  <si>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</si>
  <si>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</si>
  <si>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</si>
  <si>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</si>
  <si>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</si>
  <si>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</si>
  <si>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</si>
  <si>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</si>
  <si>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</si>
  <si>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</si>
  <si>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</si>
  <si>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</si>
  <si>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</si>
  <si>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</si>
  <si>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</si>
  <si>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</si>
  <si>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</si>
  <si>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</si>
  <si>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</si>
  <si>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</si>
  <si>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</si>
  <si>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</si>
  <si>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</si>
  <si>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</si>
  <si>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</si>
  <si>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</si>
  <si>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</si>
  <si>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</si>
  <si>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</si>
  <si>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</si>
  <si>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</si>
  <si>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</si>
  <si>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</si>
  <si>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</si>
  <si>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</si>
  <si>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</si>
  <si>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</si>
  <si>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</si>
  <si>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</si>
  <si>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</si>
  <si>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</si>
  <si>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</si>
  <si>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</si>
  <si>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</si>
  <si>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</si>
  <si>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</si>
  <si>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</si>
  <si>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</si>
  <si>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</si>
  <si>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</si>
  <si>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</si>
  <si>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</si>
  <si>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</si>
  <si>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</si>
  <si>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</si>
  <si>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</si>
  <si>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</si>
  <si>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</si>
  <si>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</si>
  <si>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</si>
  <si>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</si>
  <si>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</si>
  <si>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</si>
  <si>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</si>
  <si>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</si>
  <si>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</si>
  <si>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</si>
  <si>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</si>
  <si>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</si>
  <si>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</si>
  <si>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</si>
  <si>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</si>
  <si>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</si>
  <si>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</si>
  <si>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</si>
  <si>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</si>
  <si>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</si>
  <si>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</si>
  <si>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</si>
  <si>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</si>
  <si>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</si>
  <si>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</si>
  <si>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</si>
  <si>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</si>
  <si>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</si>
  <si>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</si>
  <si>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</si>
  <si>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</si>
  <si>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</si>
  <si>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</si>
  <si>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</si>
  <si>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</si>
  <si>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</si>
  <si>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</si>
  <si>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</si>
  <si>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</si>
  <si>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</si>
  <si>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</si>
  <si>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</si>
  <si>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</si>
  <si>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</si>
  <si>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</si>
  <si>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</si>
  <si>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</si>
  <si>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</si>
  <si>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</si>
  <si>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</si>
  <si>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</si>
  <si>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</si>
  <si>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</si>
  <si>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</si>
  <si>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</si>
  <si>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</si>
  <si>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</si>
  <si>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</si>
  <si>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</si>
  <si>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</si>
  <si>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</si>
  <si>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</si>
  <si>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</si>
  <si>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</si>
  <si>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</si>
  <si>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</si>
  <si>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</si>
  <si>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</si>
  <si>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</si>
  <si>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</si>
  <si>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</si>
  <si>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</si>
  <si>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</si>
  <si>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</si>
  <si>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</si>
  <si>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</si>
  <si>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</si>
  <si>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</si>
  <si>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</si>
  <si>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</si>
  <si>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</si>
  <si>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</si>
  <si>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</si>
  <si>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</si>
  <si>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</si>
  <si>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</si>
  <si>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</si>
  <si>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</si>
  <si>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</si>
  <si>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</si>
  <si>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</si>
  <si>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</si>
  <si>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</si>
  <si>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</si>
  <si>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</si>
  <si>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</si>
  <si>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</si>
  <si>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</si>
  <si>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</si>
  <si>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</si>
  <si>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</si>
  <si>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</si>
  <si>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</si>
  <si>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</si>
  <si>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</si>
  <si>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</si>
  <si>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</si>
  <si>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</si>
  <si>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</si>
  <si>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</si>
  <si>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</si>
  <si>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</si>
  <si>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</si>
  <si>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</si>
  <si>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</si>
  <si>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</si>
  <si>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</si>
  <si>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</si>
  <si>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</si>
  <si>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</si>
  <si>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</si>
  <si>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</si>
  <si>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</si>
  <si>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</si>
  <si>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</si>
  <si>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</si>
  <si>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</si>
  <si>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</si>
  <si>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</si>
  <si>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</si>
  <si>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</si>
  <si>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</si>
  <si>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</si>
  <si>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</si>
  <si>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</si>
  <si>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</si>
  <si>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</si>
  <si>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</si>
  <si>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</si>
  <si>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</si>
  <si>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</si>
  <si>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</si>
  <si>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</si>
  <si>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</si>
  <si>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</si>
  <si>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</si>
  <si>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</si>
  <si>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</si>
  <si>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</si>
  <si>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</si>
  <si>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</si>
  <si>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</si>
  <si>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</si>
  <si>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</si>
  <si>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</si>
  <si>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</si>
  <si>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</si>
  <si>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</si>
  <si>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</si>
  <si>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</si>
  <si>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</si>
  <si>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</si>
  <si>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</si>
  <si>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</si>
  <si>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</si>
  <si>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</si>
  <si>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</si>
  <si>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</si>
  <si>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</si>
  <si>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</si>
  <si>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</si>
  <si>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</si>
  <si>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</si>
  <si>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</si>
  <si>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</si>
  <si>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</si>
  <si>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</si>
  <si>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</si>
  <si>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</si>
  <si>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</si>
  <si>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</si>
  <si>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</si>
  <si>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</si>
  <si>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</si>
  <si>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</si>
  <si>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</si>
  <si>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</si>
  <si>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</si>
  <si>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</si>
  <si>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</si>
  <si>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</si>
  <si>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</si>
  <si>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</si>
  <si>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VALENCIA</t>
  </si>
  <si>
    <t>Resumenes por Partidos Judiciales</t>
  </si>
  <si>
    <t>PATERNA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</si>
</sst>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J5UQ9jYoMhGM+nGFPaZQr0XGmKZGK9I0TGfikUudmc6H45Qb8R6eh3+uAbhtuZ0F6F3iaChy1oKlXbjDnmwog==" saltValue="xwARhCBawz16OZXy3m8N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33</v>
      </c>
      <c r="D10" s="239">
        <f>IF(ISNUMBER(Datos!I10),Datos!I10," - ")</f>
        <v>33</v>
      </c>
      <c r="E10" s="240">
        <f>IF(ISNUMBER(Datos!J10),Datos!J10," - ")</f>
        <v>185</v>
      </c>
      <c r="F10" s="240">
        <f>IF(ISNUMBER(Datos!K10),Datos!K10," - ")</f>
        <v>168</v>
      </c>
      <c r="G10" s="1390" t="str">
        <f>IF(Datos!E10&lt;&gt;"",Datos!E10,Datos!D10)</f>
        <v>37</v>
      </c>
      <c r="H10" s="241">
        <f>IF(ISNUMBER(Datos!L10),Datos!L10," - ")</f>
        <v>50</v>
      </c>
      <c r="I10" s="1400" t="str">
        <f>IF(ISNUMBER(Datos!AS10/Datos!BM10),Datos!AS10/Datos!BM10," - ")</f>
        <v xml:space="preserve"> - </v>
      </c>
      <c r="J10" s="1401">
        <f>IF(ISNUMBER(Datos!BY10/Datos!CN10),Datos!BY10/Datos!CN10," - ")</f>
        <v>0</v>
      </c>
      <c r="K10" s="244">
        <f t="shared" ref="K10:K13" si="1">IF(ISNUMBER((E10-F10)/C10),(E10-F10)/C10," - ")</f>
        <v>0.51515151515151514</v>
      </c>
      <c r="L10" s="1402">
        <f>IF(ISNUMBER(NºAsuntos!I10/NºAsuntos!G10),(NºAsuntos!I10/NºAsuntos!G10)*11," - ")</f>
        <v>3.2738095238095237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5.7784990911451573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33</v>
      </c>
      <c r="D14" s="1407">
        <f>SUBTOTAL(9,D9:D13)</f>
        <v>33</v>
      </c>
      <c r="E14" s="1408">
        <f>SUBTOTAL(9,E9:E13)</f>
        <v>185</v>
      </c>
      <c r="F14" s="1409">
        <f>SUBTOTAL(9,F9:F13)</f>
        <v>168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875</v>
      </c>
      <c r="D17" s="239">
        <f>IF(ISNUMBER(IF(D_I="SI",Datos!I17,Datos!I17+Datos!AC17)),IF(D_I="SI",Datos!I17,Datos!I17+Datos!AC17)," - ")</f>
        <v>1013</v>
      </c>
      <c r="E17" s="240">
        <f>IF(ISNUMBER(IF(D_I="SI",Datos!J17,Datos!J17+Datos!AD17)),IF(D_I="SI",Datos!J17,Datos!J17+Datos!AD17)," - ")</f>
        <v>6202</v>
      </c>
      <c r="F17" s="240">
        <f>IF(ISNUMBER(IF(D_I="SI",Datos!K17,Datos!K17+Datos!AE17)),IF(D_I="SI",Datos!K17,Datos!K17+Datos!AE17)," - ")</f>
        <v>5816</v>
      </c>
      <c r="G17" s="1390" t="str">
        <f>IF(Datos!E17&lt;&gt;"",Datos!E17,Datos!D17)</f>
        <v>04</v>
      </c>
      <c r="H17" s="241">
        <f>IF(ISNUMBER(IF(D_I="SI",Datos!L17,Datos!L17+Datos!AF17)),IF(D_I="SI",Datos!L17,Datos!L17+Datos!AF17)," - ")</f>
        <v>1261</v>
      </c>
      <c r="I17" s="1400" t="str">
        <f>IF(ISNUMBER(Datos!AS17/Datos!BM17),Datos!AS17/Datos!BM17," - ")</f>
        <v xml:space="preserve"> - </v>
      </c>
      <c r="J17" s="1401">
        <f>IF(ISNUMBER(Datos!BY17/Datos!CN17),Datos!BY17/Datos!CN17," - ")</f>
        <v>0</v>
      </c>
      <c r="K17" s="244">
        <f t="shared" si="3"/>
        <v>0.44114285714285717</v>
      </c>
      <c r="L17" s="1402">
        <f>IF(ISNUMBER(NºAsuntos!I17/NºAsuntos!G17),(NºAsuntos!I17/NºAsuntos!G17)*11," - ")</f>
        <v>2.3849724896836313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146</v>
      </c>
      <c r="D18" s="239">
        <f>IF(ISNUMBER(IF(D_I="SI",Datos!I18,Datos!I18+Datos!AC18)),IF(D_I="SI",Datos!I18,Datos!I18+Datos!AC18)," - ")</f>
        <v>132</v>
      </c>
      <c r="E18" s="240">
        <f>IF(ISNUMBER(IF(D_I="SI",Datos!J18,Datos!J18+Datos!AD18)),IF(D_I="SI",Datos!J18,Datos!J18+Datos!AD18)," - ")</f>
        <v>852</v>
      </c>
      <c r="F18" s="240">
        <f>IF(ISNUMBER(IF(D_I="SI",Datos!K18,Datos!K18+Datos!AE18)),IF(D_I="SI",Datos!K18,Datos!K18+Datos!AE18)," - ")</f>
        <v>909</v>
      </c>
      <c r="G18" s="1390" t="str">
        <f>IF(Datos!E18&lt;&gt;"",Datos!E18,Datos!D18)</f>
        <v>37</v>
      </c>
      <c r="H18" s="241">
        <f>IF(ISNUMBER(IF(D_I="SI",Datos!L18,Datos!L18+Datos!AF18)),IF(D_I="SI",Datos!L18,Datos!L18+Datos!AF18)," - ")</f>
        <v>89</v>
      </c>
      <c r="I18" s="1400" t="str">
        <f>IF(ISNUMBER(Datos!AS18/Datos!BM18),Datos!AS18/Datos!BM18," - ")</f>
        <v xml:space="preserve"> - </v>
      </c>
      <c r="J18" s="1401" t="str">
        <f>IF(ISNUMBER((Datos!BY18+Datos!BZ18)/Datos!CN18),(Datos!BY18+Datos!BZ18)/Datos!CN18," - ")</f>
        <v xml:space="preserve"> - </v>
      </c>
      <c r="K18" s="244">
        <f t="shared" si="3"/>
        <v>-0.3904109589041096</v>
      </c>
      <c r="L18" s="1402">
        <f>IF(ISNUMBER(NºAsuntos!I18/NºAsuntos!G18),(NºAsuntos!I18/NºAsuntos!G18)*11," - ")</f>
        <v>1.0770077007700771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1021</v>
      </c>
      <c r="D23" s="1407">
        <f>SUBTOTAL(9,D16:D22)</f>
        <v>1145</v>
      </c>
      <c r="E23" s="1408">
        <f>SUBTOTAL(9,E16:E22)</f>
        <v>7054</v>
      </c>
      <c r="F23" s="1408">
        <f>SUBTOTAL(9,F16:F22)</f>
        <v>6725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1054</v>
      </c>
      <c r="D31" s="1435">
        <f>SUBTOTAL(9,D9:D30)</f>
        <v>1178</v>
      </c>
      <c r="E31" s="1436">
        <f>SUBTOTAL(9,E9:E30)</f>
        <v>7239</v>
      </c>
      <c r="F31" s="1436">
        <f>SUBTOTAL(9,F9:F30)</f>
        <v>6893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V7BddbYxuHFrFDI83R25LpqHXlJHFNpEFlJYHmTALeRzZ8cJxjluMvnps3SjgV5QCwJIQ0Fq15FkkS4IUCyI/w==" saltValue="b+u7zA6U/oSqXSeAKLUWw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DoGjQay/xCB3iDtNZbBg+P/h3vbErKijHdETt58ALFmLCIj82xfydcFMZnDvytRkiJZHIN/MaCE9LZHPXMy2A==" saltValue="eUq8RDs8+hyEKMvWm2LX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33</v>
      </c>
      <c r="J10" s="194">
        <v>185</v>
      </c>
      <c r="K10" s="194">
        <v>168</v>
      </c>
      <c r="L10" s="194">
        <v>50</v>
      </c>
      <c r="M10" s="194">
        <v>47</v>
      </c>
      <c r="N10" s="194">
        <v>97</v>
      </c>
      <c r="O10" s="194">
        <v>41</v>
      </c>
      <c r="P10" s="194">
        <v>32</v>
      </c>
      <c r="Q10" s="194">
        <v>34</v>
      </c>
      <c r="R10" s="194">
        <v>33</v>
      </c>
      <c r="S10" s="194">
        <v>30</v>
      </c>
      <c r="T10" s="194">
        <v>149</v>
      </c>
      <c r="U10" s="194">
        <v>146</v>
      </c>
      <c r="V10" s="194">
        <v>33</v>
      </c>
      <c r="W10" s="194">
        <v>64</v>
      </c>
      <c r="X10" s="201">
        <v>74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30</v>
      </c>
      <c r="AZ10" s="139">
        <f t="shared" si="0"/>
        <v>149</v>
      </c>
      <c r="BA10" s="139">
        <f t="shared" si="0"/>
        <v>146</v>
      </c>
      <c r="BB10" s="139">
        <f t="shared" si="0"/>
        <v>33</v>
      </c>
      <c r="BC10" s="135">
        <f t="shared" si="0"/>
        <v>64</v>
      </c>
      <c r="BD10" s="136">
        <f>IF(ISNUMBER(BA10/AZ10),BA10/AZ10," - ")</f>
        <v>0.97986577181208057</v>
      </c>
      <c r="BE10" s="137">
        <f>IF(ISNUMBER(BB10/BA10),BB10/BA10, " - ")</f>
        <v>0.22602739726027396</v>
      </c>
      <c r="BF10" s="137">
        <f>IF(ISNUMBER(BC10/BA10),BC10/BA10, " - ")</f>
        <v>0.43835616438356162</v>
      </c>
      <c r="BG10" s="209">
        <f>IF(ISNUMBER((AY10+AZ10)/BA10),(AY10+AZ10)/BA10," - ")</f>
        <v>1.226027397260274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3214</v>
      </c>
      <c r="J12" s="196">
        <v>7626</v>
      </c>
      <c r="K12" s="196">
        <v>6997</v>
      </c>
      <c r="L12" s="196">
        <v>3759</v>
      </c>
      <c r="M12" s="196">
        <v>1587</v>
      </c>
      <c r="N12" s="196">
        <v>3315</v>
      </c>
      <c r="O12" s="194">
        <v>3704</v>
      </c>
      <c r="P12" s="196">
        <v>1799</v>
      </c>
      <c r="Q12" s="196">
        <v>1517</v>
      </c>
      <c r="R12" s="196">
        <v>6597</v>
      </c>
      <c r="S12" s="196">
        <v>3540</v>
      </c>
      <c r="T12" s="196">
        <v>6655</v>
      </c>
      <c r="U12" s="196">
        <v>6862</v>
      </c>
      <c r="V12" s="196">
        <v>3214</v>
      </c>
      <c r="W12" s="196">
        <v>1508</v>
      </c>
      <c r="X12" s="202">
        <v>2922</v>
      </c>
      <c r="Y12" s="204">
        <v>201</v>
      </c>
      <c r="Z12" s="194">
        <v>803</v>
      </c>
      <c r="AA12" s="194">
        <v>705</v>
      </c>
      <c r="AB12" s="194">
        <v>287</v>
      </c>
      <c r="AC12" s="196">
        <v>0</v>
      </c>
      <c r="AD12" s="196">
        <v>0</v>
      </c>
      <c r="AE12" s="196">
        <v>0</v>
      </c>
      <c r="AF12" s="202">
        <v>0</v>
      </c>
      <c r="AG12" s="215">
        <v>195</v>
      </c>
      <c r="AH12" s="196">
        <v>815</v>
      </c>
      <c r="AI12" s="196">
        <v>809</v>
      </c>
      <c r="AJ12" s="216">
        <v>201</v>
      </c>
      <c r="AK12" s="195">
        <v>0</v>
      </c>
      <c r="AL12" s="196">
        <v>0</v>
      </c>
      <c r="AM12" s="196">
        <v>0</v>
      </c>
      <c r="AN12" s="202">
        <v>0</v>
      </c>
      <c r="AO12" s="283">
        <v>7</v>
      </c>
      <c r="AP12" s="168">
        <v>7</v>
      </c>
      <c r="AQ12" s="168">
        <v>7</v>
      </c>
      <c r="AR12" s="167">
        <v>7</v>
      </c>
      <c r="AS12" s="381" t="s">
        <v>1075</v>
      </c>
      <c r="AT12" s="216"/>
      <c r="AU12" s="215"/>
      <c r="AV12" s="216"/>
      <c r="AW12" s="215"/>
      <c r="AX12" s="216"/>
      <c r="AY12" s="136">
        <f t="shared" si="1"/>
        <v>3735</v>
      </c>
      <c r="AZ12" s="137">
        <f t="shared" si="1"/>
        <v>7470</v>
      </c>
      <c r="BA12" s="137">
        <f t="shared" si="1"/>
        <v>7671</v>
      </c>
      <c r="BB12" s="137">
        <f t="shared" si="1"/>
        <v>3415</v>
      </c>
      <c r="BC12" s="135">
        <f>IF(ISNUMBER(X12),X12," - ")</f>
        <v>2922</v>
      </c>
      <c r="BD12" s="136">
        <f t="shared" si="2"/>
        <v>1.0269076305220883</v>
      </c>
      <c r="BE12" s="137">
        <f t="shared" si="3"/>
        <v>0.44518315734584801</v>
      </c>
      <c r="BF12" s="137">
        <f t="shared" si="4"/>
        <v>0.38091513492373874</v>
      </c>
      <c r="BG12" s="209">
        <f t="shared" si="5"/>
        <v>1.4606961282753226</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3247</v>
      </c>
      <c r="J14" s="197">
        <f t="shared" si="7"/>
        <v>7811</v>
      </c>
      <c r="K14" s="197">
        <f t="shared" si="7"/>
        <v>7165</v>
      </c>
      <c r="L14" s="197">
        <f t="shared" si="7"/>
        <v>3809</v>
      </c>
      <c r="M14" s="197">
        <f t="shared" si="7"/>
        <v>1634</v>
      </c>
      <c r="N14" s="197">
        <f t="shared" si="7"/>
        <v>3412</v>
      </c>
      <c r="O14" s="197">
        <f t="shared" si="7"/>
        <v>3745</v>
      </c>
      <c r="P14" s="197">
        <f t="shared" si="7"/>
        <v>1831</v>
      </c>
      <c r="Q14" s="197">
        <f t="shared" si="7"/>
        <v>1551</v>
      </c>
      <c r="R14" s="197">
        <f t="shared" si="7"/>
        <v>6630</v>
      </c>
      <c r="S14" s="197">
        <f t="shared" si="7"/>
        <v>3570</v>
      </c>
      <c r="T14" s="197">
        <f t="shared" si="7"/>
        <v>6804</v>
      </c>
      <c r="U14" s="197">
        <f t="shared" si="7"/>
        <v>7008</v>
      </c>
      <c r="V14" s="197">
        <f t="shared" si="7"/>
        <v>3247</v>
      </c>
      <c r="W14" s="197">
        <f t="shared" si="7"/>
        <v>1572</v>
      </c>
      <c r="X14" s="197">
        <f t="shared" si="7"/>
        <v>2996</v>
      </c>
      <c r="Y14" s="197">
        <f t="shared" si="7"/>
        <v>201</v>
      </c>
      <c r="Z14" s="197">
        <f t="shared" si="7"/>
        <v>803</v>
      </c>
      <c r="AA14" s="197">
        <f t="shared" si="7"/>
        <v>705</v>
      </c>
      <c r="AB14" s="197">
        <f t="shared" si="7"/>
        <v>287</v>
      </c>
      <c r="AC14" s="197">
        <f t="shared" si="7"/>
        <v>0</v>
      </c>
      <c r="AD14" s="197">
        <f t="shared" si="7"/>
        <v>0</v>
      </c>
      <c r="AE14" s="197">
        <f t="shared" si="7"/>
        <v>0</v>
      </c>
      <c r="AF14" s="197">
        <f>SUBTOTAL(9,AF9:AF13)</f>
        <v>0</v>
      </c>
      <c r="AG14" s="197">
        <f t="shared" ref="AG14:AT14" si="8">SUBTOTAL(9,AG8:AG13)</f>
        <v>195</v>
      </c>
      <c r="AH14" s="197">
        <f t="shared" si="8"/>
        <v>815</v>
      </c>
      <c r="AI14" s="197">
        <f t="shared" si="8"/>
        <v>809</v>
      </c>
      <c r="AJ14" s="197">
        <f t="shared" si="8"/>
        <v>201</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3765</v>
      </c>
      <c r="AZ14" s="197">
        <f>SUBTOTAL(9,AZ8:AZ13)</f>
        <v>7619</v>
      </c>
      <c r="BA14" s="197">
        <f>SUBTOTAL(9,BA8:BA13)</f>
        <v>7817</v>
      </c>
      <c r="BB14" s="197">
        <f>SUBTOTAL(9,BB8:BB13)</f>
        <v>3448</v>
      </c>
      <c r="BC14" s="197">
        <f>SUBTOTAL(9,BC8:BC13)</f>
        <v>2986</v>
      </c>
      <c r="BD14" s="219">
        <f>IF(ISNUMBER(BA14/AZ14),BA14/AZ14," - ")</f>
        <v>1.0259876624228901</v>
      </c>
      <c r="BE14" s="220">
        <f>IF(ISNUMBER(BB14/BA14),BB14/BA14, " - ")</f>
        <v>0.44108993219905335</v>
      </c>
      <c r="BF14" s="220">
        <f>IF(ISNUMBER(BC14/BA14),BC14/BA14, " - ")</f>
        <v>0.38198797492644238</v>
      </c>
      <c r="BG14" s="221">
        <f>IF(ISNUMBER((AY14+AZ14)/BA14),(AY14+AZ14)/BA14," - ")</f>
        <v>1.4563131636177562</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1013</v>
      </c>
      <c r="J17" s="196">
        <v>6202</v>
      </c>
      <c r="K17" s="196">
        <v>5816</v>
      </c>
      <c r="L17" s="196">
        <v>1261</v>
      </c>
      <c r="M17" s="196">
        <v>906</v>
      </c>
      <c r="N17" s="196">
        <v>3603</v>
      </c>
      <c r="O17" s="194">
        <v>96</v>
      </c>
      <c r="P17" s="196">
        <v>288</v>
      </c>
      <c r="Q17" s="196">
        <v>280</v>
      </c>
      <c r="R17" s="196">
        <v>300</v>
      </c>
      <c r="S17" s="196">
        <v>1040</v>
      </c>
      <c r="T17" s="196">
        <v>5511</v>
      </c>
      <c r="U17" s="196">
        <v>5534</v>
      </c>
      <c r="V17" s="196">
        <v>1013</v>
      </c>
      <c r="W17" s="196">
        <v>1021</v>
      </c>
      <c r="X17" s="202">
        <v>3341</v>
      </c>
      <c r="Y17" s="215">
        <v>0</v>
      </c>
      <c r="Z17" s="196">
        <v>0</v>
      </c>
      <c r="AA17" s="196">
        <v>0</v>
      </c>
      <c r="AB17" s="196">
        <v>0</v>
      </c>
      <c r="AC17" s="196">
        <v>0</v>
      </c>
      <c r="AD17" s="196">
        <v>3</v>
      </c>
      <c r="AE17" s="196">
        <v>3</v>
      </c>
      <c r="AF17" s="202">
        <v>0</v>
      </c>
      <c r="AG17" s="215">
        <v>0</v>
      </c>
      <c r="AH17" s="196">
        <v>0</v>
      </c>
      <c r="AI17" s="196">
        <v>0</v>
      </c>
      <c r="AJ17" s="216">
        <v>0</v>
      </c>
      <c r="AK17" s="195">
        <v>0</v>
      </c>
      <c r="AL17" s="196">
        <v>0</v>
      </c>
      <c r="AM17" s="196">
        <v>0</v>
      </c>
      <c r="AN17" s="202">
        <v>0</v>
      </c>
      <c r="AO17" s="283">
        <v>7</v>
      </c>
      <c r="AP17" s="168">
        <v>7</v>
      </c>
      <c r="AQ17" s="168">
        <v>7</v>
      </c>
      <c r="AR17" s="168">
        <v>7</v>
      </c>
      <c r="AS17" s="381" t="s">
        <v>650</v>
      </c>
      <c r="AT17" s="216"/>
      <c r="AU17" s="215"/>
      <c r="AV17" s="216"/>
      <c r="AW17" s="215"/>
      <c r="AX17" s="216"/>
      <c r="AY17" s="136">
        <f t="shared" si="10"/>
        <v>1040</v>
      </c>
      <c r="AZ17" s="137">
        <f t="shared" si="10"/>
        <v>5511</v>
      </c>
      <c r="BA17" s="137">
        <f t="shared" si="10"/>
        <v>5534</v>
      </c>
      <c r="BB17" s="137">
        <f t="shared" si="10"/>
        <v>1013</v>
      </c>
      <c r="BC17" s="135">
        <f>IF(ISNUMBER(W17),W17," - ")</f>
        <v>1021</v>
      </c>
      <c r="BD17" s="136">
        <f t="shared" ref="BD17:BD22" si="12">IF(ISNUMBER(BA17/AZ17),BA17/AZ17," - ")</f>
        <v>1.0041734712393395</v>
      </c>
      <c r="BE17" s="137">
        <f t="shared" ref="BE17:BE22" si="13">IF(ISNUMBER(BB17/BA17),BB17/BA17, " - ")</f>
        <v>0.18305023491145644</v>
      </c>
      <c r="BF17" s="137">
        <f t="shared" ref="BF17:BF22" si="14">IF(ISNUMBER(BC17/BA17),BC17/BA17, " - ")</f>
        <v>0.18449584387423201</v>
      </c>
      <c r="BG17" s="209">
        <f t="shared" si="11"/>
        <v>1.1837730393928443</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132</v>
      </c>
      <c r="J18" s="196">
        <v>852</v>
      </c>
      <c r="K18" s="196">
        <v>909</v>
      </c>
      <c r="L18" s="196">
        <v>89</v>
      </c>
      <c r="M18" s="196">
        <v>92</v>
      </c>
      <c r="N18" s="196">
        <v>374</v>
      </c>
      <c r="O18" s="196">
        <v>0</v>
      </c>
      <c r="P18" s="196">
        <v>11</v>
      </c>
      <c r="Q18" s="196">
        <v>13</v>
      </c>
      <c r="R18" s="196">
        <v>5</v>
      </c>
      <c r="S18" s="196">
        <v>92</v>
      </c>
      <c r="T18" s="196">
        <v>959</v>
      </c>
      <c r="U18" s="196">
        <v>937</v>
      </c>
      <c r="V18" s="196">
        <v>132</v>
      </c>
      <c r="W18" s="196">
        <v>99</v>
      </c>
      <c r="X18" s="202">
        <v>402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92</v>
      </c>
      <c r="AZ18" s="139">
        <f t="shared" si="15"/>
        <v>959</v>
      </c>
      <c r="BA18" s="139">
        <f t="shared" si="15"/>
        <v>937</v>
      </c>
      <c r="BB18" s="139">
        <f t="shared" si="15"/>
        <v>132</v>
      </c>
      <c r="BC18" s="135">
        <f>IF(ISNUMBER(W18),W18," - ")</f>
        <v>99</v>
      </c>
      <c r="BD18" s="136">
        <f>IF(ISNUMBER(BA18/AZ18),BA18/AZ18," - ")</f>
        <v>0.97705943691345154</v>
      </c>
      <c r="BE18" s="137">
        <f>IF(ISNUMBER(BB18/BA18),BB18/BA18, " - ")</f>
        <v>0.14087513340448238</v>
      </c>
      <c r="BF18" s="137">
        <f>IF(ISNUMBER(BC18/BA18),BC18/BA18, " - ")</f>
        <v>0.1056563500533618</v>
      </c>
      <c r="BG18" s="209">
        <f>IF(ISNUMBER((AY18+AZ18)/BA18),(AY18+AZ18)/BA18," - ")</f>
        <v>1.1216648879402349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1145</v>
      </c>
      <c r="J23" s="197">
        <f t="shared" si="21"/>
        <v>7054</v>
      </c>
      <c r="K23" s="197">
        <f t="shared" si="21"/>
        <v>6725</v>
      </c>
      <c r="L23" s="197">
        <f t="shared" si="21"/>
        <v>1350</v>
      </c>
      <c r="M23" s="197">
        <f t="shared" si="21"/>
        <v>998</v>
      </c>
      <c r="N23" s="197">
        <f t="shared" si="21"/>
        <v>3977</v>
      </c>
      <c r="O23" s="197">
        <f t="shared" si="21"/>
        <v>96</v>
      </c>
      <c r="P23" s="197">
        <f t="shared" si="21"/>
        <v>299</v>
      </c>
      <c r="Q23" s="197">
        <f t="shared" si="21"/>
        <v>293</v>
      </c>
      <c r="R23" s="197">
        <f t="shared" si="21"/>
        <v>305</v>
      </c>
      <c r="S23" s="197">
        <f t="shared" si="21"/>
        <v>1132</v>
      </c>
      <c r="T23" s="197">
        <f t="shared" si="21"/>
        <v>6470</v>
      </c>
      <c r="U23" s="197">
        <f t="shared" si="21"/>
        <v>6471</v>
      </c>
      <c r="V23" s="197">
        <f t="shared" si="21"/>
        <v>1145</v>
      </c>
      <c r="W23" s="197">
        <f t="shared" si="21"/>
        <v>1120</v>
      </c>
      <c r="X23" s="197">
        <f t="shared" si="21"/>
        <v>3743</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8</v>
      </c>
      <c r="AP23" s="197">
        <f t="shared" si="21"/>
        <v>8</v>
      </c>
      <c r="AQ23" s="197">
        <f t="shared" si="21"/>
        <v>8</v>
      </c>
      <c r="AR23" s="197">
        <f t="shared" si="21"/>
        <v>8</v>
      </c>
      <c r="AS23" s="197">
        <f t="shared" si="21"/>
        <v>0</v>
      </c>
      <c r="AT23" s="197">
        <f t="shared" si="21"/>
        <v>0</v>
      </c>
      <c r="AU23" s="217"/>
      <c r="AV23" s="142"/>
      <c r="AW23" s="217"/>
      <c r="AX23" s="142"/>
      <c r="AY23" s="197">
        <f>SUBTOTAL(9,AY15:AY22)</f>
        <v>1132</v>
      </c>
      <c r="AZ23" s="197">
        <f>SUBTOTAL(9,AZ15:AZ22)</f>
        <v>6470</v>
      </c>
      <c r="BA23" s="197">
        <f>SUBTOTAL(9,BA15:BA22)</f>
        <v>6471</v>
      </c>
      <c r="BB23" s="197">
        <f>SUBTOTAL(9,BB15:BB22)</f>
        <v>1145</v>
      </c>
      <c r="BC23" s="197">
        <f>SUBTOTAL(9,BC15:BC22)</f>
        <v>1120</v>
      </c>
      <c r="BD23" s="219">
        <f>IF(ISNUMBER(BA23/AZ23),BA23/AZ23," - ")</f>
        <v>1.0001545595054095</v>
      </c>
      <c r="BE23" s="220">
        <f>IF(ISNUMBER(BB23/BA23),BB23/BA23, " - ")</f>
        <v>0.17694328542729099</v>
      </c>
      <c r="BF23" s="220">
        <f>IF(ISNUMBER(BC23/BA23),BC23/BA23, " - ")</f>
        <v>0.17307989491577808</v>
      </c>
      <c r="BG23" s="221">
        <f>IF(ISNUMBER((AY23+AZ23)/BA23),(AY23+AZ23)/BA23," - ")</f>
        <v>1.1747797867408438</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4392</v>
      </c>
      <c r="J31" s="144">
        <f t="shared" si="36"/>
        <v>14865</v>
      </c>
      <c r="K31" s="144">
        <f t="shared" si="36"/>
        <v>13890</v>
      </c>
      <c r="L31" s="144">
        <f t="shared" si="36"/>
        <v>5159</v>
      </c>
      <c r="M31" s="144">
        <f t="shared" si="36"/>
        <v>2632</v>
      </c>
      <c r="N31" s="144">
        <f t="shared" si="36"/>
        <v>7389</v>
      </c>
      <c r="O31" s="144">
        <f t="shared" si="36"/>
        <v>3841</v>
      </c>
      <c r="P31" s="144">
        <f t="shared" si="36"/>
        <v>2130</v>
      </c>
      <c r="Q31" s="144">
        <f t="shared" si="36"/>
        <v>1844</v>
      </c>
      <c r="R31" s="144">
        <f t="shared" si="36"/>
        <v>6935</v>
      </c>
      <c r="S31" s="144">
        <f t="shared" si="36"/>
        <v>4702</v>
      </c>
      <c r="T31" s="144">
        <f t="shared" si="36"/>
        <v>13274</v>
      </c>
      <c r="U31" s="144">
        <f t="shared" si="36"/>
        <v>13479</v>
      </c>
      <c r="V31" s="144">
        <f t="shared" si="36"/>
        <v>4392</v>
      </c>
      <c r="W31" s="144">
        <f t="shared" si="36"/>
        <v>2692</v>
      </c>
      <c r="X31" s="144">
        <f t="shared" si="36"/>
        <v>6739</v>
      </c>
      <c r="Y31" s="144">
        <f t="shared" si="36"/>
        <v>201</v>
      </c>
      <c r="Z31" s="144">
        <f t="shared" si="36"/>
        <v>803</v>
      </c>
      <c r="AA31" s="144">
        <f t="shared" si="36"/>
        <v>705</v>
      </c>
      <c r="AB31" s="144">
        <f t="shared" si="36"/>
        <v>287</v>
      </c>
      <c r="AC31" s="144">
        <f t="shared" si="36"/>
        <v>0</v>
      </c>
      <c r="AD31" s="144">
        <f t="shared" si="36"/>
        <v>3</v>
      </c>
      <c r="AE31" s="144">
        <f t="shared" si="36"/>
        <v>3</v>
      </c>
      <c r="AF31" s="144">
        <f t="shared" si="36"/>
        <v>0</v>
      </c>
      <c r="AG31" s="144">
        <f t="shared" si="36"/>
        <v>195</v>
      </c>
      <c r="AH31" s="144">
        <f t="shared" si="36"/>
        <v>815</v>
      </c>
      <c r="AI31" s="144">
        <f t="shared" si="36"/>
        <v>809</v>
      </c>
      <c r="AJ31" s="144">
        <f t="shared" si="36"/>
        <v>201</v>
      </c>
      <c r="AK31" s="144">
        <f t="shared" si="36"/>
        <v>0</v>
      </c>
      <c r="AL31" s="144">
        <f t="shared" si="36"/>
        <v>0</v>
      </c>
      <c r="AM31" s="144">
        <f t="shared" si="36"/>
        <v>0</v>
      </c>
      <c r="AN31" s="224">
        <f t="shared" si="36"/>
        <v>0</v>
      </c>
      <c r="AO31" s="225">
        <v>8</v>
      </c>
      <c r="AP31" s="225">
        <v>8</v>
      </c>
      <c r="AQ31" s="225">
        <v>8</v>
      </c>
      <c r="AR31" s="225">
        <v>8</v>
      </c>
      <c r="AS31" s="166">
        <f t="shared" si="36"/>
        <v>0</v>
      </c>
      <c r="AT31" s="166">
        <f t="shared" si="36"/>
        <v>0</v>
      </c>
      <c r="AU31" s="225"/>
      <c r="AV31" s="226"/>
      <c r="AW31" s="225"/>
      <c r="AX31" s="226"/>
      <c r="AY31" s="143">
        <f>SUBTOTAL(9,AY9:AY30)</f>
        <v>4897</v>
      </c>
      <c r="AZ31" s="144">
        <f>SUBTOTAL(9,AZ9:AZ30)</f>
        <v>14089</v>
      </c>
      <c r="BA31" s="144">
        <f>SUBTOTAL(9,BA9:BA30)</f>
        <v>14288</v>
      </c>
      <c r="BB31" s="144">
        <f>SUBTOTAL(9,BB9:BB30)</f>
        <v>4593</v>
      </c>
      <c r="BC31" s="145">
        <f>SUBTOTAL(9,BC9:BC30)</f>
        <v>4106</v>
      </c>
      <c r="BD31" s="227">
        <f>IF(ISNUMBER(BA31/AZ31),BA31/AZ31," - ")</f>
        <v>1.0141244942863226</v>
      </c>
      <c r="BE31" s="224">
        <f>IF(ISNUMBER(BB31/BA31),BB31/BA31, " - ")</f>
        <v>0.3214585666293393</v>
      </c>
      <c r="BF31" s="224">
        <f>IF(ISNUMBER(BC31/BA31),BC31/BA31, " - ")</f>
        <v>0.28737402015677493</v>
      </c>
      <c r="BG31" s="145">
        <f>IF(ISNUMBER((AY31+AZ31)/BA31),(AY31+AZ31)/BA31," - ")</f>
        <v>1.3288073908174691</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vbJ2ar4SUUaSBGrzFSV6059DJnVsANOB74ej2s6qD4LDn+d/exao1hius2YWlMkltsOslTtiFE0fEJoUTxLiw==" saltValue="2xD39+YxrJj7T+6CsME7z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kEpd/ScEaRXq0p7LQSo6dU0XBGgEdgs+B7T/ZQz1QTSm2qZxvM1sore1a0salbId2fSNuxmd3HZlqvUGJxnDg==" saltValue="UKpAV0kF4+clCyjVLj/to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PATERNA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33</v>
      </c>
      <c r="G10" s="543">
        <f>IF(ISNUMBER(Datos!I10),Datos!I10," - ")</f>
        <v>33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168</v>
      </c>
      <c r="AC10" s="547">
        <f>IF(ISNUMBER(Datos!Q10),Datos!Q10," - ")</f>
        <v>34</v>
      </c>
      <c r="AD10" s="549"/>
      <c r="AE10" s="563"/>
      <c r="AF10" s="551">
        <f>IF(ISNUMBER(Datos!L10),Datos!L10,"-")</f>
        <v>50</v>
      </c>
      <c r="AG10" s="549"/>
      <c r="AH10" s="549"/>
      <c r="AI10" s="549"/>
      <c r="AJ10" s="549"/>
      <c r="AK10" s="549"/>
      <c r="AL10" s="550"/>
      <c r="AM10" s="766">
        <f>IF(ISNUMBER(Datos!R10),Datos!R10," - ")</f>
        <v>33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47</v>
      </c>
      <c r="BD10" s="693">
        <f>IF(ISNUMBER(Datos!N10),Datos!N10," - ")</f>
        <v>97</v>
      </c>
      <c r="BE10" s="693" t="str">
        <f>IF(ISNUMBER(Datos!BW10),Datos!BW10," - ")</f>
        <v xml:space="preserve"> - </v>
      </c>
      <c r="BF10" s="762" t="str">
        <f>IF(ISNUMBER(Datos!BX10),Datos!BX10," - ")</f>
        <v xml:space="preserve"> - </v>
      </c>
      <c r="BG10" s="763">
        <f>IF(ISNUMBER(Datos!K10/Datos!J10),Datos!K10/Datos!J10," - ")</f>
        <v>0.90810810810810816</v>
      </c>
      <c r="BH10" s="764">
        <f>IF(ISNUMBER(((Datos!L10/Datos!K10)*11)/factor_trimestre),((Datos!L10/Datos!K10)*11)/factor_trimestre," - ")</f>
        <v>3.2738095238095237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-5.7142857142857141E-2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803</v>
      </c>
      <c r="O12" s="549"/>
      <c r="P12" s="549"/>
      <c r="Q12" s="547">
        <f>IF(ISNUMBER(Datos!P12),Datos!P12,0)</f>
        <v>1799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287</v>
      </c>
      <c r="AI12" s="549" t="str">
        <f>IF(ISNUMBER(Datos!CD12),Datos!CD12,"-")</f>
        <v>-</v>
      </c>
      <c r="AJ12" s="549" t="str">
        <f>IF(ISNUMBER(Datos!EN12),Datos!EN12," - ")</f>
        <v xml:space="preserve"> - </v>
      </c>
      <c r="AK12" s="549"/>
      <c r="AL12" s="550"/>
      <c r="AM12" s="766">
        <f>IF(ISNUMBER(Datos!R12),Datos!R12," - ")</f>
        <v>6597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1587</v>
      </c>
      <c r="BD12" s="693">
        <f>IF(ISNUMBER(Datos!N12),Datos!N12," - ")</f>
        <v>3315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0.9137501482975442</v>
      </c>
      <c r="BH12" s="764">
        <f>IF(ISNUMBER(((IF(J_V="SI",Datos!L12/Datos!K12,(Datos!L12+Datos!AB12)/(Datos!K12+Datos!AA12)))*11)/factor_trimestre),((IF(J_V="SI",Datos!L12/Datos!K12,(Datos!L12+Datos!AB12)/(Datos!K12+Datos!AA12)))*11)/factor_trimestre," - ")</f>
        <v>5.7784990911451573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4.4655581947743467E-2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8</v>
      </c>
      <c r="F14" s="1197">
        <f t="shared" si="1"/>
        <v>33</v>
      </c>
      <c r="G14" s="1197">
        <f t="shared" si="1"/>
        <v>33</v>
      </c>
      <c r="H14" s="1198">
        <f t="shared" si="1"/>
        <v>0</v>
      </c>
      <c r="I14" s="1197">
        <f t="shared" si="1"/>
        <v>0</v>
      </c>
      <c r="J14" s="1164">
        <f t="shared" si="1"/>
        <v>0</v>
      </c>
      <c r="K14" s="1164">
        <f t="shared" si="1"/>
        <v>0</v>
      </c>
      <c r="L14" s="1198">
        <f t="shared" si="1"/>
        <v>0</v>
      </c>
      <c r="M14" s="1198">
        <f t="shared" si="1"/>
        <v>0</v>
      </c>
      <c r="N14" s="1198">
        <f t="shared" si="1"/>
        <v>803</v>
      </c>
      <c r="O14" s="1199">
        <f t="shared" si="1"/>
        <v>0</v>
      </c>
      <c r="P14" s="1199">
        <f t="shared" si="1"/>
        <v>0</v>
      </c>
      <c r="Q14" s="1198">
        <f t="shared" si="1"/>
        <v>1831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168</v>
      </c>
      <c r="AC14" s="1198">
        <f t="shared" si="2"/>
        <v>1551</v>
      </c>
      <c r="AD14" s="1198">
        <f t="shared" si="2"/>
        <v>0</v>
      </c>
      <c r="AE14" s="1198">
        <f t="shared" si="2"/>
        <v>0</v>
      </c>
      <c r="AF14" s="1198">
        <f t="shared" si="2"/>
        <v>50</v>
      </c>
      <c r="AG14" s="1198">
        <f t="shared" si="2"/>
        <v>0</v>
      </c>
      <c r="AH14" s="1198">
        <f t="shared" si="2"/>
        <v>287</v>
      </c>
      <c r="AI14" s="1198">
        <f t="shared" si="2"/>
        <v>0</v>
      </c>
      <c r="AJ14" s="1198">
        <f t="shared" si="2"/>
        <v>0</v>
      </c>
      <c r="AK14" s="1198">
        <f t="shared" si="2"/>
        <v>0</v>
      </c>
      <c r="AL14" s="1198">
        <f t="shared" si="2"/>
        <v>0</v>
      </c>
      <c r="AM14" s="1198">
        <f t="shared" si="2"/>
        <v>6630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1634</v>
      </c>
      <c r="BD14" s="1198">
        <f t="shared" si="2"/>
        <v>3412</v>
      </c>
      <c r="BE14" s="1198">
        <f t="shared" si="2"/>
        <v>0</v>
      </c>
      <c r="BF14" s="1198">
        <f t="shared" si="2"/>
        <v>0</v>
      </c>
      <c r="BG14" s="1198">
        <f>IF(ISNUMBER(Datos!K14/Datos!J14),Datos!K14/Datos!J14," - ")</f>
        <v>0.91729612085520418</v>
      </c>
      <c r="BH14" s="1202">
        <f>IF(ISNUMBER(((Datos!L14/Datos!K14)*11)/factor_trimestre),((Datos!L14/Datos!K14)*11)/factor_trimestre," - ")</f>
        <v>5.8477320307048144</v>
      </c>
      <c r="BI14" s="1198">
        <f>IF(ISNUMBER('Resol  Asuntos'!D14/NºAsuntos!G14),'Resol  Asuntos'!D14/NºAsuntos!G14," - ")</f>
        <v>0.20762388818297331</v>
      </c>
      <c r="BJ14" s="1198" t="str">
        <f>IF(ISNUMBER(Datos!CI14/Datos!CJ14),Datos!CI14/Datos!CJ14," - ")</f>
        <v xml:space="preserve"> - </v>
      </c>
      <c r="BK14" s="1198">
        <f>SUBTOTAL(9,BK8:BK13)</f>
        <v>0</v>
      </c>
      <c r="BL14" s="1198">
        <f>IF(ISNUMBER((I14-AB14+L14)/(F14)),(I14-AB14+L14)/(F14)," - ")</f>
        <v>-5.0909090909090908</v>
      </c>
      <c r="BM14" s="1203">
        <f>SUBTOTAL(9,BM9:BM13)</f>
        <v>-1.2487275195113674E-2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875</v>
      </c>
      <c r="G17" s="743">
        <f>IF(ISNUMBER(IF(D_I="SI",Datos!I17,Datos!I17+Datos!AC17)),IF(D_I="SI",Datos!I17,Datos!I17+Datos!AC17)," - ")</f>
        <v>1013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288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5816</v>
      </c>
      <c r="AC17" s="240">
        <f>IF(ISNUMBER(Datos!Q17),Datos!Q17," - ")</f>
        <v>280</v>
      </c>
      <c r="AD17" s="374"/>
      <c r="AE17" s="562"/>
      <c r="AF17" s="741">
        <f>IF(ISNUMBER(IF(D_I="SI",Datos!L17,Datos!L17+Datos!AF17)),IF(D_I="SI",Datos!L17,Datos!L17+Datos!AF17)," - ")</f>
        <v>1261</v>
      </c>
      <c r="AG17" s="374"/>
      <c r="AH17" s="374"/>
      <c r="AI17" s="374"/>
      <c r="AJ17" s="549"/>
      <c r="AK17" s="374"/>
      <c r="AL17" s="545"/>
      <c r="AM17" s="375">
        <f>IF(ISNUMBER(Datos!R17),Datos!R17," - ")</f>
        <v>300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906</v>
      </c>
      <c r="BD17" s="243">
        <f>IF(ISNUMBER(Datos!N17),Datos!N17," - ")</f>
        <v>3603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0.9377620122541116</v>
      </c>
      <c r="BH17" s="764">
        <f>IF(ISNUMBER(((IF(D_I="SI",Datos!L17/Datos!K17,(Datos!L17+Datos!AF17)/(Datos!K17+Datos!AE17)))*11)/factor_trimestre),((IF(D_I="SI",Datos!L17/Datos!K17,(Datos!L17+Datos!AF17)/(Datos!K17+Datos!AE17)))*11)/factor_trimestre," - ")</f>
        <v>2.3849724896836313</v>
      </c>
      <c r="BI17" s="266">
        <f>IF(ISNUMBER('Resol  Asuntos'!D17/NºAsuntos!G17),'Resol  Asuntos'!D17/NºAsuntos!G17," - ")</f>
        <v>0.15577716643741404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909</v>
      </c>
      <c r="AC18" s="547">
        <f>IF(ISNUMBER(Datos!Q18),Datos!Q18," - ")</f>
        <v>13</v>
      </c>
      <c r="AD18" s="549"/>
      <c r="AE18" s="562"/>
      <c r="AF18" s="551">
        <f>IF(ISNUMBER(Datos!L18),Datos!L18,"-")</f>
        <v>89</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92</v>
      </c>
      <c r="BD18" s="693">
        <f>IF(ISNUMBER(Datos!N18),Datos!N18," - ")</f>
        <v>374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1.0669014084507042</v>
      </c>
      <c r="BH18" s="764">
        <f>IF(ISNUMBER(((IF(D_I="SI",Datos!L18/Datos!K18,(Datos!L18+Datos!AF18)/(Datos!K18+Datos!AE18)))*11)/factor_trimestre),((IF(D_I="SI",Datos!L18/Datos!K18,(Datos!L18+Datos!AF18)/(Datos!K18+Datos!AE18)))*11)/factor_trimestre," - ")</f>
        <v>1.0770077007700771</v>
      </c>
      <c r="BI18" s="763">
        <f>IF(ISNUMBER('Resol  Asuntos'!D18/NºAsuntos!G18),'Resol  Asuntos'!D18/NºAsuntos!G18," - ")</f>
        <v>0.10121012101210121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8</v>
      </c>
      <c r="F23" s="1197">
        <f>SUBTOTAL(9,F16:F22)</f>
        <v>875</v>
      </c>
      <c r="G23" s="1197">
        <f>SUBTOTAL(9,G16:G22)</f>
        <v>1145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6725</v>
      </c>
      <c r="AC23" s="1198">
        <f t="shared" si="5"/>
        <v>293</v>
      </c>
      <c r="AD23" s="1198">
        <f t="shared" si="5"/>
        <v>0</v>
      </c>
      <c r="AE23" s="1198">
        <f t="shared" si="5"/>
        <v>0</v>
      </c>
      <c r="AF23" s="1198">
        <f t="shared" si="5"/>
        <v>1350</v>
      </c>
      <c r="AG23" s="1198">
        <f t="shared" si="5"/>
        <v>0</v>
      </c>
      <c r="AH23" s="1198">
        <f t="shared" si="5"/>
        <v>0</v>
      </c>
      <c r="AI23" s="1198">
        <f t="shared" si="5"/>
        <v>0</v>
      </c>
      <c r="AJ23" s="1198">
        <f t="shared" si="5"/>
        <v>0</v>
      </c>
      <c r="AK23" s="1198">
        <f t="shared" si="5"/>
        <v>0</v>
      </c>
      <c r="AL23" s="1198">
        <f t="shared" si="5"/>
        <v>0</v>
      </c>
      <c r="AM23" s="1198">
        <f t="shared" si="5"/>
        <v>305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998</v>
      </c>
      <c r="BD23" s="1198">
        <f t="shared" si="5"/>
        <v>3977</v>
      </c>
      <c r="BE23" s="1198">
        <f t="shared" si="5"/>
        <v>0</v>
      </c>
      <c r="BF23" s="1198">
        <f t="shared" si="5"/>
        <v>0</v>
      </c>
      <c r="BG23" s="1198">
        <f>IF(ISNUMBER(Datos!K23/Datos!J23),Datos!K23/Datos!J23," - ")</f>
        <v>0.95335979586050468</v>
      </c>
      <c r="BH23" s="1202">
        <f>IF(ISNUMBER(((Datos!L23/Datos!K23)*11)/factor_trimestre),((Datos!L23/Datos!K23)*11)/factor_trimestre," - ")</f>
        <v>2.2081784386617103</v>
      </c>
      <c r="BI23" s="1198">
        <f>SUBTOTAL(9,BI16:BI22)</f>
        <v>0.25698728744951527</v>
      </c>
      <c r="BJ23" s="1198">
        <f>SUBTOTAL(9,BJ16:BJ22)</f>
        <v>0</v>
      </c>
      <c r="BK23" s="1198">
        <f>SUBTOTAL(9,BK16:BK22)</f>
        <v>0</v>
      </c>
      <c r="BL23" s="1198">
        <f>IF(ISNUMBER((I23-AB23+L23)/(F23)),(I23-AB23+L23)/(F23)," - ")</f>
        <v>-7.6857142857142859</v>
      </c>
      <c r="BM23" s="1205">
        <f>IF(ISNUMBER((Datos!P23-Datos!Q23)/(Datos!R23-Datos!P23+Datos!Q23)),(Datos!P23-Datos!Q23)/(Datos!R23-Datos!P23+Datos!Q23)," - ")</f>
        <v>2.0066889632107024E-2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16</v>
      </c>
      <c r="F31" s="1117">
        <f t="shared" si="18"/>
        <v>908</v>
      </c>
      <c r="G31" s="1117">
        <f t="shared" si="18"/>
        <v>1178</v>
      </c>
      <c r="H31" s="1119">
        <f t="shared" si="18"/>
        <v>0</v>
      </c>
      <c r="I31" s="1117">
        <f t="shared" si="18"/>
        <v>0</v>
      </c>
      <c r="J31" s="1119">
        <f t="shared" si="18"/>
        <v>0</v>
      </c>
      <c r="K31" s="1119">
        <f t="shared" si="18"/>
        <v>0</v>
      </c>
      <c r="L31" s="1180">
        <f t="shared" si="18"/>
        <v>0</v>
      </c>
      <c r="M31" s="1180">
        <f t="shared" si="18"/>
        <v>0</v>
      </c>
      <c r="N31" s="1180">
        <f t="shared" si="18"/>
        <v>803</v>
      </c>
      <c r="O31" s="1180">
        <f t="shared" si="18"/>
        <v>0</v>
      </c>
      <c r="P31" s="1180">
        <f t="shared" si="18"/>
        <v>0</v>
      </c>
      <c r="Q31" s="1119">
        <f t="shared" si="18"/>
        <v>2130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6893</v>
      </c>
      <c r="AC31" s="1118">
        <f t="shared" si="19"/>
        <v>1844</v>
      </c>
      <c r="AD31" s="1118">
        <f t="shared" si="19"/>
        <v>0</v>
      </c>
      <c r="AE31" s="1118">
        <f t="shared" si="19"/>
        <v>0</v>
      </c>
      <c r="AF31" s="1125">
        <f t="shared" si="19"/>
        <v>1400</v>
      </c>
      <c r="AG31" s="1125">
        <f t="shared" si="19"/>
        <v>0</v>
      </c>
      <c r="AH31" s="1125">
        <f t="shared" si="19"/>
        <v>287</v>
      </c>
      <c r="AI31" s="1125">
        <f t="shared" si="19"/>
        <v>0</v>
      </c>
      <c r="AJ31" s="1118">
        <f t="shared" si="19"/>
        <v>0</v>
      </c>
      <c r="AK31" s="1125">
        <f t="shared" si="19"/>
        <v>0</v>
      </c>
      <c r="AL31" s="1125">
        <f t="shared" si="19"/>
        <v>0</v>
      </c>
      <c r="AM31" s="1125">
        <f t="shared" si="19"/>
        <v>6935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2632</v>
      </c>
      <c r="BD31" s="1117">
        <f t="shared" si="19"/>
        <v>7389</v>
      </c>
      <c r="BE31" s="1117">
        <f t="shared" si="19"/>
        <v>0</v>
      </c>
      <c r="BF31" s="1127">
        <f t="shared" si="19"/>
        <v>0</v>
      </c>
      <c r="BG31" s="1223">
        <f>IF(ISNUMBER(Datos!K31/Datos!J31),Datos!K31/Datos!J31," - ")</f>
        <v>0.934409687184662</v>
      </c>
      <c r="BH31" s="1223">
        <f>IF(ISNUMBER(((Datos!L31/Datos!K31)*11)/factor_trimestre),((Datos!L31/Datos!K31)*11)/factor_trimestre," - ")</f>
        <v>4.0856011519078477</v>
      </c>
      <c r="BI31" s="1103">
        <f>IF(ISNUMBER(Datos!J31/Datos!I31),Datos!J31/Datos!I31," - ")</f>
        <v>3.3845628415300548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-7.5914096916299556</v>
      </c>
      <c r="BM31" s="1188">
        <f>IF(ISNUMBER((Datos!P31-Datos!Q31+R31)/(Datos!R31-Datos!P31+Datos!Q31-R31)),(Datos!P31-Datos!Q31+R31)/(Datos!R31-Datos!P31+Datos!Q31-R31)," - ")</f>
        <v>4.3013987065724166E-2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336.57142857142856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3.110066658430819</v>
      </c>
      <c r="F33" s="673">
        <f>IF(ISNUMBER(STDEV(F8:F30)),STDEV(F8:F30),"-")</f>
        <v>443.57306801322676</v>
      </c>
      <c r="G33" s="674">
        <f>IF(ISNUMBER(STDEV(G8:G30)),STDEV(G8:G30),"-")</f>
        <v>510.52811125436807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2966.0205583206857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712.3728959310165</v>
      </c>
      <c r="BD33" s="673"/>
      <c r="BE33" s="673">
        <f>IF(ISNUMBER(STDEV(BE8:BE30)),STDEV(BE8:BE30),"-")</f>
        <v>0</v>
      </c>
      <c r="BF33" s="678">
        <f>IF(ISNUMBER(STDEV(BF8:BF30)),STDEV(BF8:BF30),"-")</f>
        <v>0</v>
      </c>
      <c r="BG33" s="1052">
        <f>IF(ISNUMBER(STDEV(BG8:BG30)),STDEV(BG8:BG30),"-")</f>
        <v>5.9940294081914924E-2</v>
      </c>
      <c r="BH33" s="1058">
        <f>IF(ISNUMBER(STDEV(BH8:BH30)),STDEV(BH8:BH30),"-")</f>
        <v>1.9751839810269278</v>
      </c>
      <c r="BI33" s="273">
        <f>IF(ISNUMBER(STDEV(BI8:BI30)),STDEV(BI8:BI30),"-")</f>
        <v>6.7042458071613228E-2</v>
      </c>
      <c r="BJ33" s="244" t="str">
        <f>IF(ISNUMBER(BL33/BM33),BL33/BM33," - ")</f>
        <v xml:space="preserve"> - </v>
      </c>
      <c r="BK33" s="709"/>
      <c r="BL33" s="681">
        <f>IF(ISNUMBER(STDEV(BL8:BL30)),STDEV(BL8:BL30),"-")</f>
        <v>1.834804349104836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XIIEXw1w1uC+l/Zn2hbzdZxRVuGhmWnmxc0nNgDPu1rNsMqUcJ6g5pFVqCFpZ7hoTwM0INlzJM/zKK/x0GWjJg==" saltValue="psEJ7TPzdM2Jv3B7aTQeG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PATERNA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33</v>
      </c>
      <c r="G10" s="552">
        <f>IF(ISNUMBER(Datos!I10),Datos!I10," - ")</f>
        <v>33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168</v>
      </c>
      <c r="Z10" s="805">
        <f>IF(ISNUMBER(Datos!Q10),Datos!Q10," - ")</f>
        <v>34</v>
      </c>
      <c r="AA10" s="551">
        <f>IF(ISNUMBER(Datos!L10),Datos!L10,"-")</f>
        <v>50</v>
      </c>
      <c r="AB10" s="549"/>
      <c r="AC10" s="549"/>
      <c r="AD10" s="563"/>
      <c r="AE10" s="563">
        <f>IF(ISNUMBER(Datos!R10),Datos!R10," - ")</f>
        <v>33</v>
      </c>
      <c r="AF10" s="693" t="str">
        <f>IF(ISNUMBER(Datos!BV10),Datos!BV10," - ")</f>
        <v xml:space="preserve"> - </v>
      </c>
      <c r="AG10" s="552" t="str">
        <f>IF(ISNUMBER(Datos!DV10),Datos!DV10," - ")</f>
        <v xml:space="preserve"> - </v>
      </c>
      <c r="AH10" s="553"/>
      <c r="AI10" s="554"/>
      <c r="AJ10" s="552">
        <f>IF(ISNUMBER(Datos!M10),Datos!M10," - ")</f>
        <v>47</v>
      </c>
      <c r="AK10" s="693">
        <f>IF(ISNUMBER(Datos!N10),Datos!N10," - ")</f>
        <v>97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3.2738095238095237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-5.7142857142857141E-2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1799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1517</v>
      </c>
      <c r="AA12" s="551" t="str">
        <f>IF(ISNUMBER(IF(J_V="SI",Datos!L12,Datos!L12+Datos!AB12)-IF(Monitorios="SI",Datos!CD12,0)),
                          IF(J_V="SI",Datos!L12,Datos!L12+Datos!AB12)-IF(Monitorios="SI",Datos!CD12,0),
                          " - ")</f>
        <v xml:space="preserve"> - </v>
      </c>
      <c r="AB12" s="549"/>
      <c r="AC12" s="549"/>
      <c r="AD12" s="563"/>
      <c r="AE12" s="563">
        <f>IF(ISNUMBER(Datos!R12),Datos!R12," - ")</f>
        <v>6597</v>
      </c>
      <c r="AF12" s="693" t="str">
        <f>IF(ISNUMBER(Datos!BV12),Datos!BV12," - ")</f>
        <v xml:space="preserve"> - </v>
      </c>
      <c r="AG12" s="552" t="str">
        <f>IF(ISNUMBER(Datos!DV12),Datos!DV12," - ")</f>
        <v xml:space="preserve"> - </v>
      </c>
      <c r="AH12" s="553"/>
      <c r="AI12" s="554"/>
      <c r="AJ12" s="552">
        <f>IF(ISNUMBER(Datos!M12),Datos!M12," - ")</f>
        <v>1587</v>
      </c>
      <c r="AK12" s="693">
        <f>IF(ISNUMBER(Datos!N12),Datos!N12," - ")</f>
        <v>3315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5.7784990911451573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4.4655581947743467E-2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8</v>
      </c>
      <c r="F14" s="1197">
        <f>SUBTOTAL(9,F8:F13)</f>
        <v>33</v>
      </c>
      <c r="G14" s="1197">
        <f>SUBTOTAL(9,G8:G13)</f>
        <v>33</v>
      </c>
      <c r="H14" s="1211"/>
      <c r="I14" s="1197">
        <f t="shared" ref="I14:N14" si="1">SUBTOTAL(9,I8:I13)</f>
        <v>0</v>
      </c>
      <c r="J14" s="1164">
        <f t="shared" si="1"/>
        <v>0</v>
      </c>
      <c r="K14" s="1211">
        <f t="shared" si="1"/>
        <v>0</v>
      </c>
      <c r="L14" s="1211">
        <f t="shared" si="1"/>
        <v>0</v>
      </c>
      <c r="M14" s="1211">
        <f t="shared" si="1"/>
        <v>0</v>
      </c>
      <c r="N14" s="1211">
        <f t="shared" si="1"/>
        <v>1831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168</v>
      </c>
      <c r="Z14" s="1210">
        <f t="shared" si="3"/>
        <v>1551</v>
      </c>
      <c r="AA14" s="1199">
        <f t="shared" si="3"/>
        <v>50</v>
      </c>
      <c r="AB14" s="1199">
        <f t="shared" si="3"/>
        <v>0</v>
      </c>
      <c r="AC14" s="1199">
        <f t="shared" si="3"/>
        <v>0</v>
      </c>
      <c r="AD14" s="1199">
        <f t="shared" si="3"/>
        <v>0</v>
      </c>
      <c r="AE14" s="1199">
        <f t="shared" si="3"/>
        <v>6630</v>
      </c>
      <c r="AF14" s="1211">
        <f t="shared" si="3"/>
        <v>0</v>
      </c>
      <c r="AG14" s="1211">
        <f t="shared" si="3"/>
        <v>0</v>
      </c>
      <c r="AH14" s="1211">
        <f t="shared" si="3"/>
        <v>0</v>
      </c>
      <c r="AI14" s="1211">
        <f t="shared" si="3"/>
        <v>0</v>
      </c>
      <c r="AJ14" s="1211">
        <f t="shared" si="3"/>
        <v>1634</v>
      </c>
      <c r="AK14" s="1211">
        <f t="shared" si="3"/>
        <v>3412</v>
      </c>
      <c r="AL14" s="1211">
        <f t="shared" si="3"/>
        <v>0</v>
      </c>
      <c r="AM14" s="1211">
        <f t="shared" si="3"/>
        <v>0</v>
      </c>
      <c r="AN14" s="1211">
        <f t="shared" si="3"/>
        <v>0</v>
      </c>
      <c r="AO14" s="1203">
        <f>IF(ISNUMBER(((NºAsuntos!I14/NºAsuntos!G14)*11)/factor_trimestre),((NºAsuntos!I14/NºAsuntos!G14)*11)/factor_trimestre," - ")</f>
        <v>5.7250317662007619</v>
      </c>
      <c r="AP14" s="1213" t="str">
        <f>IF(ISNUMBER(Datos!CI14/Datos!CJ14),Datos!CI14/Datos!CJ14," - ")</f>
        <v xml:space="preserve"> - </v>
      </c>
      <c r="AQ14" s="1236">
        <f t="shared" ref="AQ14:AV14" si="4">SUBTOTAL(9,AQ9:AQ13)</f>
        <v>0</v>
      </c>
      <c r="AR14" s="1236">
        <f t="shared" si="4"/>
        <v>-1.2487275195113674E-2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875</v>
      </c>
      <c r="G17" s="552">
        <f>IF(ISNUMBER(IF(D_I="SI",Datos!I17,Datos!I17+Datos!AC17)),IF(D_I="SI",Datos!I17,Datos!I17+Datos!AC17)," - ")</f>
        <v>1013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288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5816</v>
      </c>
      <c r="Z17" s="805">
        <f>IF(ISNUMBER(Datos!Q17),Datos!Q17," - ")</f>
        <v>280</v>
      </c>
      <c r="AA17" s="551">
        <f>IF(ISNUMBER(IF(D_I="SI",Datos!L17,Datos!L17+Datos!AF17)),IF(D_I="SI",Datos!L17,Datos!L17+Datos!AF17)," - ")</f>
        <v>1261</v>
      </c>
      <c r="AB17" s="549"/>
      <c r="AC17" s="549"/>
      <c r="AD17" s="563"/>
      <c r="AE17" s="563">
        <f>IF(ISNUMBER(Datos!R17),Datos!R17," - ")</f>
        <v>300</v>
      </c>
      <c r="AF17" s="693" t="str">
        <f>IF(ISNUMBER(Datos!BV17),Datos!BV17," - ")</f>
        <v xml:space="preserve"> - </v>
      </c>
      <c r="AG17" s="552"/>
      <c r="AH17" s="553"/>
      <c r="AI17" s="554"/>
      <c r="AJ17" s="552">
        <f>IF(ISNUMBER(Datos!M17),Datos!M17," - ")</f>
        <v>906</v>
      </c>
      <c r="AK17" s="693">
        <f>IF(ISNUMBER(Datos!N17),Datos!N17," - ")</f>
        <v>3603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2.3849724896836313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909</v>
      </c>
      <c r="Z18" s="805">
        <f>IF(ISNUMBER(Datos!Q18),Datos!Q18," - ")</f>
        <v>13</v>
      </c>
      <c r="AA18" s="551">
        <f>IF(ISNUMBER(Datos!L18),Datos!L18,"-")</f>
        <v>89</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92</v>
      </c>
      <c r="AK18" s="693">
        <f>IF(ISNUMBER(Datos!N18),Datos!N18," - ")</f>
        <v>374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1.0770077007700771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8</v>
      </c>
      <c r="F23" s="1197">
        <f>SUBTOTAL(9,F16:F22)</f>
        <v>875</v>
      </c>
      <c r="G23" s="1197">
        <f>SUBTOTAL(9,G16:G22)</f>
        <v>1145</v>
      </c>
      <c r="H23" s="1240">
        <f>SUBTOTAL(9,H16:H22)</f>
        <v>0</v>
      </c>
      <c r="I23" s="1217">
        <f>SUBTOTAL(9,I16:I22)</f>
        <v>0</v>
      </c>
      <c r="J23" s="1164">
        <f>SUBTOTAL(9,J15:J22)</f>
        <v>0</v>
      </c>
      <c r="K23" s="1240">
        <f t="shared" ref="K23:S23" si="5">SUBTOTAL(9,K16:K22)</f>
        <v>0</v>
      </c>
      <c r="L23" s="1240">
        <f t="shared" si="5"/>
        <v>0</v>
      </c>
      <c r="M23" s="1240">
        <f t="shared" si="5"/>
        <v>0</v>
      </c>
      <c r="N23" s="1240">
        <f t="shared" si="5"/>
        <v>299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6725</v>
      </c>
      <c r="Z23" s="1240">
        <f t="shared" si="6"/>
        <v>293</v>
      </c>
      <c r="AA23" s="1240">
        <f t="shared" si="6"/>
        <v>1350</v>
      </c>
      <c r="AB23" s="1240">
        <f t="shared" si="6"/>
        <v>0</v>
      </c>
      <c r="AC23" s="1240">
        <f t="shared" si="6"/>
        <v>0</v>
      </c>
      <c r="AD23" s="1240">
        <f t="shared" si="6"/>
        <v>0</v>
      </c>
      <c r="AE23" s="1240">
        <f t="shared" si="6"/>
        <v>305</v>
      </c>
      <c r="AF23" s="1240">
        <f t="shared" si="6"/>
        <v>0</v>
      </c>
      <c r="AG23" s="1240">
        <f t="shared" si="6"/>
        <v>0</v>
      </c>
      <c r="AH23" s="1240">
        <f t="shared" si="6"/>
        <v>0</v>
      </c>
      <c r="AI23" s="1240">
        <f t="shared" si="6"/>
        <v>0</v>
      </c>
      <c r="AJ23" s="1240">
        <f t="shared" si="6"/>
        <v>998</v>
      </c>
      <c r="AK23" s="1240">
        <f t="shared" si="6"/>
        <v>3977</v>
      </c>
      <c r="AL23" s="1240">
        <f t="shared" si="6"/>
        <v>0</v>
      </c>
      <c r="AM23" s="1240">
        <f t="shared" si="6"/>
        <v>0</v>
      </c>
      <c r="AN23" s="1240">
        <f t="shared" si="6"/>
        <v>0</v>
      </c>
      <c r="AO23" s="1242">
        <f>IF(ISNUMBER(((NºAsuntos!I23/NºAsuntos!G23)*11)/factor_trimestre),((NºAsuntos!I23/NºAsuntos!G23)*11)/factor_trimestre," - ")</f>
        <v>2.2081784386617103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908</v>
      </c>
      <c r="G31" s="1117">
        <f t="shared" si="12"/>
        <v>1178</v>
      </c>
      <c r="H31" s="1118">
        <f t="shared" si="12"/>
        <v>0</v>
      </c>
      <c r="I31" s="1117">
        <f t="shared" si="12"/>
        <v>0</v>
      </c>
      <c r="J31" s="1119">
        <f t="shared" si="12"/>
        <v>0</v>
      </c>
      <c r="K31" s="1117">
        <f t="shared" si="12"/>
        <v>0</v>
      </c>
      <c r="L31" s="1120">
        <f t="shared" si="12"/>
        <v>0</v>
      </c>
      <c r="M31" s="1117">
        <f t="shared" si="12"/>
        <v>0</v>
      </c>
      <c r="N31" s="1118">
        <f t="shared" si="12"/>
        <v>2130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6893</v>
      </c>
      <c r="Z31" s="1124">
        <f t="shared" si="13"/>
        <v>1844</v>
      </c>
      <c r="AA31" s="1125">
        <f t="shared" si="13"/>
        <v>1400</v>
      </c>
      <c r="AB31" s="1125">
        <f t="shared" si="13"/>
        <v>0</v>
      </c>
      <c r="AC31" s="1125">
        <f t="shared" si="13"/>
        <v>0</v>
      </c>
      <c r="AD31" s="1126">
        <f t="shared" si="13"/>
        <v>0</v>
      </c>
      <c r="AE31" s="1126">
        <f t="shared" si="13"/>
        <v>6935</v>
      </c>
      <c r="AF31" s="1127">
        <f t="shared" si="13"/>
        <v>0</v>
      </c>
      <c r="AG31" s="1128">
        <f t="shared" si="13"/>
        <v>0</v>
      </c>
      <c r="AH31" s="1129">
        <f t="shared" si="13"/>
        <v>0</v>
      </c>
      <c r="AI31" s="1127">
        <f t="shared" si="13"/>
        <v>0</v>
      </c>
      <c r="AJ31" s="1117">
        <f t="shared" si="13"/>
        <v>2632</v>
      </c>
      <c r="AK31" s="1117">
        <f t="shared" si="13"/>
        <v>7389</v>
      </c>
      <c r="AL31" s="1117">
        <f t="shared" si="13"/>
        <v>0</v>
      </c>
      <c r="AM31" s="1130">
        <f t="shared" si="13"/>
        <v>0</v>
      </c>
      <c r="AN31" s="1120">
        <f>IF(ISNUMBER(Datos!K31/Datos!J31),Datos!K31/Datos!J31," - ")</f>
        <v>0.934409687184662</v>
      </c>
      <c r="AO31" s="1120">
        <f>IF(ISNUMBER(FIND("06",Criterios!A8,1)),(IF(ISNUMBER(((Datos!R31/Datos!Q31)*11)/factor_trimestre),((Datos!R31/Datos!Q31)*11)/factor_trimestre," - ")),(IF(ISNUMBER(((Datos!L31/Datos!K31)*11)/factor_trimestre),((Datos!L31/Datos!K31)*11)/factor_trimestre," - ")))</f>
        <v>4.0856011519078477</v>
      </c>
      <c r="AP31" s="1131" t="str">
        <f>IF(ISNUMBER(Datos!CI31/Datos!CJ31),Datos!CI31/Datos!CJ31," - ")</f>
        <v xml:space="preserve"> - </v>
      </c>
      <c r="AQ31" s="1131">
        <f>IF(OR(ISNUMBER(FIND("01",Criterios!A8,1)),ISNUMBER(FIND("02",Criterios!A8,1)),ISNUMBER(FIND("03",Criterios!A8,1)),ISNUMBER(FIND("04",Criterios!A8,1))),(J31-Y31+K31)/(F31-K31),(I31-Y31+K31)/(F31-K31))</f>
        <v>-7.5914096916299556</v>
      </c>
      <c r="AR31" s="1131">
        <f>IF(ISNUMBER((Datos!P31-Datos!Q31+O31)/(Datos!R31-Datos!P31+Datos!Q31-O31)),(Datos!P31-Datos!Q31+O31)/(Datos!R31-Datos!P31+Datos!Q31-O31)," - ")</f>
        <v>4.3013987065724166E-2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336.57142857142856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443.57306801322676</v>
      </c>
      <c r="G33" s="674">
        <f>IF(ISNUMBER(STDEV(G8:G30)),STDEV(G8:G30),"-")</f>
        <v>510.52811125436807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712.3728959310165</v>
      </c>
      <c r="AK33" s="276"/>
      <c r="AL33" s="276">
        <f>IF(ISNUMBER(STDEV(AL8:AL30)),STDEV(AL8:AL30),"-")</f>
        <v>0</v>
      </c>
      <c r="AM33" s="278">
        <f>IF(ISNUMBER(STDEV(AM8:AM30)),STDEV(AM8:AM30),"-")</f>
        <v>0</v>
      </c>
      <c r="AN33" s="660">
        <f>IF(ISNUMBER(STDEV(AN8:AN30)),STDEV(AN8:AN30),"-")</f>
        <v>0</v>
      </c>
      <c r="AO33" s="661">
        <f>IF(ISNUMBER(STDEV(AO8:AO30)),STDEV(AO8:AO30),"-")</f>
        <v>1.9455380414557517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1W8JFF7PwMUbu9Xx8YEi1DG+I3seg4KNmmtUo9UK9+SxlAyBhJVFZG43BXuAQfRPirIHxQDMmvdmcGIlcwWuIQ==" saltValue="YywTU5WHWdrwPt0k+aTFB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XMs8CM9RIST8jHsLEGkW28YJ+PWxtjY1mQnPfvItis6lGJwS4NWPWpBjGMrkawDTCzmq13CYaGGSzAk2uAZJg==" saltValue="/qcfcHXa6l0SYoAC+DOJ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p0ldp17X3CgAHZIN80mpv/7woUawcz+Dmn6tIu9LPjI/8wl9+cHTQtweTCcmNC/3bKjsa0JVxkqegxxoIHgpQ==" saltValue="3mxiUiDOvQSwY95ntx3u+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PATERNA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0.20762388818297331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0.14681225927049793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1CLHuRWbu/9epINjlK9Qdd2ygY21tQF9cTC5sxgkEnHt8iaMM/PsYG0rw5BCDbJ6b/1DLS6pjzYfHmhIe00yuA==" saltValue="owDoKBneriuI3abuuVId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t8Nx6r9rHlEdP/mEIRdsJhyzpC0d4YbOwpJKzaOrWYj6IqnL8EKu1PxLJruosJikFB9RNVokeoTmG2rpGYqZ8Q==" saltValue="f3pI+n30N71J3kOX6NxE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PATERNA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33</v>
      </c>
      <c r="D10" s="452">
        <f>IF(ISNUMBER(C10/Datos!BH10),C10/Datos!BH10," - ")</f>
        <v>33</v>
      </c>
      <c r="E10" s="451">
        <f>IF(ISNUMBER(Datos!J10),Datos!J10," - ")</f>
        <v>185</v>
      </c>
      <c r="F10" s="452">
        <f>IF(ISNUMBER(E10/B10),E10/B10," - ")</f>
        <v>185</v>
      </c>
      <c r="G10" s="451">
        <f>IF(ISNUMBER(Datos!K10),Datos!K10," - ")</f>
        <v>168</v>
      </c>
      <c r="H10" s="452">
        <f>IF(ISNUMBER(G10/B10),G10/B10," - ")</f>
        <v>168</v>
      </c>
      <c r="I10" s="451">
        <f>IF(ISNUMBER(Datos!L10),Datos!L10," - ")</f>
        <v>50</v>
      </c>
      <c r="J10" s="452">
        <f>IF(ISNUMBER(I10/B10),I10/B10," - ")</f>
        <v>50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3415</v>
      </c>
      <c r="D12" s="452">
        <f>IF(ISNUMBER(C12/Datos!BH12),C12/Datos!BH12," - ")</f>
        <v>487.85714285714283</v>
      </c>
      <c r="E12" s="451">
        <f>IF(ISNUMBER(IF(J_V="SI",Datos!J12,Datos!J12+Datos!Z12)),IF(J_V="SI",Datos!J12,Datos!J12+Datos!Z12)," - ")</f>
        <v>8429</v>
      </c>
      <c r="F12" s="452">
        <f>IF(ISNUMBER(E12/B12),E12/B12," - ")</f>
        <v>1204.1428571428571</v>
      </c>
      <c r="G12" s="451">
        <f>IF(ISNUMBER(IF(J_V="SI",Datos!K12,Datos!K12+Datos!AA12)),IF(J_V="SI",Datos!K12,Datos!K12+Datos!AA12)," - ")</f>
        <v>7702</v>
      </c>
      <c r="H12" s="452">
        <f>IF(ISNUMBER(G12/B12),G12/B12," - ")</f>
        <v>1100.2857142857142</v>
      </c>
      <c r="I12" s="451">
        <f>IF(ISNUMBER(IF(J_V="SI",Datos!L12,Datos!L12+Datos!AB12)),IF(J_V="SI",Datos!L12,Datos!L12+Datos!AB12)," - ")</f>
        <v>4046</v>
      </c>
      <c r="J12" s="452">
        <f>IF(ISNUMBER(I12/B12),I12/B12," - ")</f>
        <v>578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3448</v>
      </c>
      <c r="D14" s="1147" t="str">
        <f>IF(ISNUMBER(C14/Datos!BI14),C14/Datos!BI14," - ")</f>
        <v xml:space="preserve"> - </v>
      </c>
      <c r="E14" s="1146">
        <f>SUBTOTAL(9,E8:E13)</f>
        <v>8614</v>
      </c>
      <c r="F14" s="1147">
        <f>IF(ISNUMBER(E14/B14),E14/B14," - ")</f>
        <v>1076.75</v>
      </c>
      <c r="G14" s="1146">
        <f>SUBTOTAL(9,G8:G13)</f>
        <v>7870</v>
      </c>
      <c r="H14" s="1147">
        <f>IF(ISNUMBER(G14/B14),G14/B14," - ")</f>
        <v>983.75</v>
      </c>
      <c r="I14" s="1146">
        <f>SUBTOTAL(9,I8:I13)</f>
        <v>4096</v>
      </c>
      <c r="J14" s="1147">
        <f>IF(ISNUMBER(I14/B14),I14/B14," - ")</f>
        <v>512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1013</v>
      </c>
      <c r="D17" s="452">
        <f>IF(ISNUMBER(C17/Datos!BH17),C17/Datos!BH17," - ")</f>
        <v>144.71428571428572</v>
      </c>
      <c r="E17" s="451">
        <f>IF(ISNUMBER(IF(D_I="SI",Datos!J17,Datos!J17+Datos!AD17)),IF(D_I="SI",Datos!J17,Datos!J17+Datos!AD17)," - ")</f>
        <v>6202</v>
      </c>
      <c r="F17" s="452">
        <f>IF(ISNUMBER(E17/B17),E17/B17," - ")</f>
        <v>886</v>
      </c>
      <c r="G17" s="451">
        <f>IF(ISNUMBER(IF(D_I="SI",Datos!K17,Datos!K17+Datos!AE17)),IF(D_I="SI",Datos!K17,Datos!K17+Datos!AE17)," - ")</f>
        <v>5816</v>
      </c>
      <c r="H17" s="452">
        <f>IF(ISNUMBER(G17/B17),G17/B17," - ")</f>
        <v>830.85714285714289</v>
      </c>
      <c r="I17" s="451">
        <f>IF(ISNUMBER(IF(D_I="SI",Datos!L17,Datos!L17+Datos!AF17)),IF(D_I="SI",Datos!L17,Datos!L17+Datos!AF17)," - ")</f>
        <v>1261</v>
      </c>
      <c r="J17" s="452">
        <f>IF(ISNUMBER(I17/B17),I17/B17," - ")</f>
        <v>180.14285714285714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132</v>
      </c>
      <c r="D18" s="452">
        <f>IF(ISNUMBER(C18/Datos!BH18),C18/Datos!BH18," - ")</f>
        <v>132</v>
      </c>
      <c r="E18" s="451">
        <f>IF(ISNUMBER(IF(D_I="SI",Datos!J18,Datos!J18+Datos!AD18)),IF(D_I="SI",Datos!J18,Datos!J18+Datos!AD18)," - ")</f>
        <v>852</v>
      </c>
      <c r="F18" s="452">
        <f>IF(ISNUMBER(E18/B18),E18/B18," - ")</f>
        <v>852</v>
      </c>
      <c r="G18" s="451">
        <f>IF(ISNUMBER(IF(D_I="SI",Datos!K18,Datos!K18+Datos!AE18)),IF(D_I="SI",Datos!K18,Datos!K18+Datos!AE18)," - ")</f>
        <v>909</v>
      </c>
      <c r="H18" s="452">
        <f>IF(ISNUMBER(G18/B18),G18/B18," - ")</f>
        <v>909</v>
      </c>
      <c r="I18" s="451">
        <f>IF(ISNUMBER(IF(D_I="SI",Datos!L18,Datos!L18+Datos!AF18)),IF(D_I="SI",Datos!L18,Datos!L18+Datos!AF18)," - ")</f>
        <v>89</v>
      </c>
      <c r="J18" s="452">
        <f>IF(ISNUMBER(I18/B18),I18/B18," - ")</f>
        <v>89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1145</v>
      </c>
      <c r="D23" s="1147" t="str">
        <f>IF(ISNUMBER(C23/Datos!BI23),C23/Datos!BI23," - ")</f>
        <v xml:space="preserve"> - </v>
      </c>
      <c r="E23" s="1146">
        <f>SUBTOTAL(9,E15:E22)</f>
        <v>7054</v>
      </c>
      <c r="F23" s="1147">
        <f>IF(ISNUMBER(E23/B23),E23/B23," - ")</f>
        <v>881.75</v>
      </c>
      <c r="G23" s="1146">
        <f>SUBTOTAL(9,G15:G22)</f>
        <v>6725</v>
      </c>
      <c r="H23" s="1147">
        <f>IF(ISNUMBER(G23/B23),G23/B23," - ")</f>
        <v>840.625</v>
      </c>
      <c r="I23" s="1146">
        <f>SUBTOTAL(9,I15:I22)</f>
        <v>1350</v>
      </c>
      <c r="J23" s="1147">
        <f>IF(ISNUMBER(I23/B23),I23/B23," - ")</f>
        <v>168.75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4593</v>
      </c>
      <c r="D31" s="1085" t="str">
        <f>IF(ISNUMBER(C31/Datos!BI31),C31/Datos!BI31," - ")</f>
        <v xml:space="preserve"> - </v>
      </c>
      <c r="E31" s="1084">
        <f>SUBTOTAL(9,E9:E30)</f>
        <v>15668</v>
      </c>
      <c r="F31" s="1085">
        <f>IF(ISNUMBER(E31/B31),E31/B31," - ")</f>
        <v>1958.5</v>
      </c>
      <c r="G31" s="1084">
        <f>SUBTOTAL(9,G9:G30)</f>
        <v>14595</v>
      </c>
      <c r="H31" s="1085">
        <f>IF(ISNUMBER(G31/B31),G31/B31," - ")</f>
        <v>1824.375</v>
      </c>
      <c r="I31" s="1084">
        <f>SUBTOTAL(9,I9:I30)</f>
        <v>5446</v>
      </c>
      <c r="J31" s="1085">
        <f>IF(ISNUMBER(I31/B31),I31/B31," - ")</f>
        <v>680.75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op7S+/6X/Tppo5ZLIKUYE2alY5IvhYO/ik2VlHUvbTX8klfwpce5rpWw6ejIKc3WvzIIGScnPKAKtPObSLd7vg==" saltValue="h5mkpmWi2GyQi9zUDnbL8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PATERNA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33</v>
      </c>
      <c r="G10" s="906">
        <f>IF(ISNUMBER(Datos!I10),Datos!I10," - ")</f>
        <v>33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168</v>
      </c>
      <c r="AC10" s="905" t="str">
        <f>IF(ISNUMBER(IF(D_I="SI",DatosP!K18,DatosP!K18+DatosP!AE18)),IF(D_I="SI",DatosP!K18,DatosP!K18+DatosP!AE18)," - ")</f>
        <v xml:space="preserve"> - </v>
      </c>
      <c r="AD10" s="907"/>
      <c r="AE10" s="907"/>
      <c r="AF10" s="910">
        <f>IF(ISNUMBER(Datos!L10),Datos!L10,"-")</f>
        <v>50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47</v>
      </c>
      <c r="AM10" s="914">
        <f>IF(ISNUMBER(Datos!N10+DatosP!N18),Datos!N10+DatosP!N18," - ")</f>
        <v>97</v>
      </c>
      <c r="AN10" s="914">
        <f>IF(ISNUMBER(Datos!BW10+DatosP!BW18),Datos!BW10+DatosP!BW18," - ")</f>
        <v>0</v>
      </c>
      <c r="AO10" s="915">
        <f>IF(ISNUMBER(Datos!BX10+DatosP!BX18),Datos!BX10+DatosP!BX18," - ")</f>
        <v>0</v>
      </c>
      <c r="AP10" s="917">
        <f>IF(ISNUMBER(((Datos!L10/Datos!K10)*11)/factor_trimestre),((Datos!L10/Datos!K10)*11)/factor_trimestre," - ")</f>
        <v>3.2738095238095237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1799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6597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1587</v>
      </c>
      <c r="AM12" s="914">
        <f>IF(ISNUMBER(Datos!N12+DatosP!N17),Datos!N12+DatosP!N17," - ")</f>
        <v>3315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5.7784990911451573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4.4655581947743467E-2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33</v>
      </c>
      <c r="G14" s="1256">
        <f t="shared" si="0"/>
        <v>33</v>
      </c>
      <c r="H14" s="1256">
        <f t="shared" si="0"/>
        <v>0</v>
      </c>
      <c r="I14" s="1258">
        <f t="shared" si="0"/>
        <v>0</v>
      </c>
      <c r="J14" s="1257">
        <f t="shared" si="0"/>
        <v>0</v>
      </c>
      <c r="K14" s="1257">
        <f t="shared" si="0"/>
        <v>0</v>
      </c>
      <c r="L14" s="1259">
        <f t="shared" si="0"/>
        <v>0</v>
      </c>
      <c r="M14" s="1259">
        <f t="shared" si="0"/>
        <v>0</v>
      </c>
      <c r="N14" s="1257">
        <f t="shared" si="0"/>
        <v>1831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168</v>
      </c>
      <c r="AC14" s="1257">
        <f t="shared" si="1"/>
        <v>0</v>
      </c>
      <c r="AD14" s="1257">
        <f t="shared" si="1"/>
        <v>1517</v>
      </c>
      <c r="AE14" s="1257">
        <f t="shared" si="1"/>
        <v>0</v>
      </c>
      <c r="AF14" s="1257">
        <f t="shared" si="1"/>
        <v>50</v>
      </c>
      <c r="AG14" s="1257">
        <f t="shared" si="1"/>
        <v>0</v>
      </c>
      <c r="AH14" s="1257">
        <f t="shared" si="1"/>
        <v>6597</v>
      </c>
      <c r="AI14" s="1257">
        <f t="shared" si="1"/>
        <v>0</v>
      </c>
      <c r="AJ14" s="1257">
        <f t="shared" si="1"/>
        <v>0</v>
      </c>
      <c r="AK14" s="1257">
        <f t="shared" si="1"/>
        <v>0</v>
      </c>
      <c r="AL14" s="1257">
        <f t="shared" si="1"/>
        <v>1634</v>
      </c>
      <c r="AM14" s="1257">
        <f t="shared" si="1"/>
        <v>3412</v>
      </c>
      <c r="AN14" s="1257">
        <f t="shared" si="1"/>
        <v>0</v>
      </c>
      <c r="AO14" s="1257">
        <f t="shared" si="1"/>
        <v>0</v>
      </c>
      <c r="AP14" s="1262">
        <f>IF(ISNUMBER(((Datos!L14/Datos!K14)*11)/factor_trimestre),((Datos!L14/Datos!K14)*11)/factor_trimestre," - ")</f>
        <v>5.8477320307048144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-5.0909090909090908</v>
      </c>
      <c r="AU14" s="1257" t="str">
        <f>IF(ISNUMBER((DatosP!#REF!-DatosP!#REF!+DatosP!#REF!)/(DatosP!#REF!+DatosP!#REF!-DatosP!#REF!-DatosP!#REF!)),(DatosP!#REF!-DatosP!#REF!+DatosP!#REF!)/(DatosP!#REF!+DatosP!#REF!-DatosP!#REF!-DatosP!#REF!)," - ")</f>
        <v xml:space="preserve"> - </v>
      </c>
      <c r="AV14" s="1263">
        <f>SUBTOTAL(9,AV9:AV13)</f>
        <v>4.4655581947743467E-2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2.2081784386617103</v>
      </c>
      <c r="AQ23" s="1262">
        <f>IF(ISNUMBER(((Datos!M23/Datos!L23)*11)/factor_trimestre),((Datos!M23/Datos!L23)*11)/factor_trimestre," - ")</f>
        <v>8.1318518518518523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2.0066889632107024E-2</v>
      </c>
      <c r="AW23" s="1265">
        <f>IF(ISNUMBER((Datos!Q23-Datos!R23)/(Datos!S23-Datos!Q23+Datos!R23)),(Datos!Q23-Datos!R23)/(Datos!S23-Datos!Q23+Datos!R23)," - ")</f>
        <v>-1.048951048951049E-2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33</v>
      </c>
      <c r="G31" s="1278">
        <f t="shared" si="8"/>
        <v>33</v>
      </c>
      <c r="H31" s="1278">
        <f t="shared" si="8"/>
        <v>0</v>
      </c>
      <c r="I31" s="1279">
        <f t="shared" si="8"/>
        <v>0</v>
      </c>
      <c r="J31" s="1280">
        <f t="shared" si="8"/>
        <v>0</v>
      </c>
      <c r="K31" s="1280">
        <f t="shared" si="8"/>
        <v>0</v>
      </c>
      <c r="L31" s="1280">
        <f t="shared" si="8"/>
        <v>0</v>
      </c>
      <c r="M31" s="1280">
        <f t="shared" si="8"/>
        <v>0</v>
      </c>
      <c r="N31" s="1279">
        <f t="shared" si="8"/>
        <v>1831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168</v>
      </c>
      <c r="AC31" s="1284">
        <f t="shared" si="9"/>
        <v>0</v>
      </c>
      <c r="AD31" s="1284">
        <f t="shared" si="9"/>
        <v>1517</v>
      </c>
      <c r="AE31" s="1284">
        <f t="shared" si="9"/>
        <v>0</v>
      </c>
      <c r="AF31" s="1285">
        <f t="shared" si="9"/>
        <v>50</v>
      </c>
      <c r="AG31" s="1285">
        <f t="shared" si="9"/>
        <v>0</v>
      </c>
      <c r="AH31" s="1285">
        <f t="shared" si="9"/>
        <v>6597</v>
      </c>
      <c r="AI31" s="1285">
        <f t="shared" si="9"/>
        <v>0</v>
      </c>
      <c r="AJ31" s="1286">
        <f t="shared" si="9"/>
        <v>0</v>
      </c>
      <c r="AK31" s="1286">
        <f t="shared" si="9"/>
        <v>0</v>
      </c>
      <c r="AL31" s="1278">
        <f t="shared" si="9"/>
        <v>1634</v>
      </c>
      <c r="AM31" s="1278">
        <f t="shared" si="9"/>
        <v>3412</v>
      </c>
      <c r="AN31" s="1278">
        <f t="shared" si="9"/>
        <v>0</v>
      </c>
      <c r="AO31" s="1278">
        <f t="shared" si="9"/>
        <v>0</v>
      </c>
      <c r="AP31" s="1278">
        <f>IF(ISNUMBER(((Datos!L31/Datos!K31)*11)/factor_trimestre),((Datos!L31/Datos!K31)*11)/factor_trimestre," - ")</f>
        <v>4.0856011519078477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-5.0909090909090908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4.3013987065724166E-2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3.2702361450580972</v>
      </c>
      <c r="F33" s="1006">
        <f>IF(ISNUMBER(STDEV(F8:F30)),STDEV(F8:F30),"-")</f>
        <v>18.074844397670482</v>
      </c>
      <c r="G33" s="1007">
        <f>IF(ISNUMBER(STDEV(G8:G30)),STDEV(G8:G30),"-")</f>
        <v>18.074844397670482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92.017389660867906</v>
      </c>
      <c r="AC33" s="1008">
        <f>IF(ISNUMBER(STDEV(AC8:AC30)),STDEV(AC8:AC30),"-")</f>
        <v>0</v>
      </c>
      <c r="AD33" s="1011"/>
      <c r="AE33" s="1011"/>
      <c r="AF33" s="1011"/>
      <c r="AG33" s="1011"/>
      <c r="AH33" s="1011"/>
      <c r="AI33" s="1011"/>
      <c r="AJ33" s="1012">
        <f>IF(ISNUMBER(STDEV(AJ8:AJ30)),STDEV(AJ8:AJ30),"-")</f>
        <v>0</v>
      </c>
      <c r="AK33" s="1014"/>
      <c r="AL33" s="1006">
        <f>IF(ISNUMBER(STDEV(AL8:AL30)),STDEV(AL8:AL30),"-")</f>
        <v>825.92533964436916</v>
      </c>
      <c r="AM33" s="1006"/>
      <c r="AN33" s="1006">
        <f>IF(ISNUMBER(STDEV(AN8:AN30)),STDEV(AN8:AN30),"-")</f>
        <v>0</v>
      </c>
      <c r="AO33" s="1012">
        <f>IF(ISNUMBER(STDEV(AO8:AO30)),STDEV(AO8:AO30),"-")</f>
        <v>0</v>
      </c>
      <c r="AP33" s="1065">
        <f>IF(ISNUMBER(STDEV(AP8:AP30)),STDEV(AP8:AP30),"-")</f>
        <v>1.8264822661033222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j8W9U/ijdKx0mlDGhDRxQ5IQplyRGtG6Q9OQPKDSMZrbilghGYnQyIaf98btfOpEBYPUt/hCCEWdDX+mHqZijA==" saltValue="HFkGWjaLQeaUhQtE3Oya2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PATERNA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gceONYNAoUQB0XLS3JGX/HMuOM/pW/l057skRbvIKuLEJOdCMhL+32VX1l9o0vlJAAlYlKA4xDZT8aU61WKE+w==" saltValue="gC/wQL/CFVvs0iV/9HiSC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PATERNA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47</v>
      </c>
      <c r="E10" s="452">
        <f>IF(ISNUMBER(D10/B10),D10/B10," - ")</f>
        <v>47</v>
      </c>
      <c r="F10" s="451">
        <f>IF(ISNUMBER(Datos!N10),Datos!N10," - ")</f>
        <v>97</v>
      </c>
      <c r="G10" s="452">
        <f>IF(ISNUMBER(F10/B10),F10/B10," - ")</f>
        <v>97</v>
      </c>
      <c r="H10" s="451">
        <f>IF(ISNUMBER(Datos!O10),Datos!O10," - ")</f>
        <v>41</v>
      </c>
      <c r="I10" s="452">
        <f t="shared" ref="I10:I13" si="2">IF(ISNUMBER(H10/B10),H10/B10," - ")</f>
        <v>41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1587</v>
      </c>
      <c r="E12" s="452">
        <f t="shared" si="0"/>
        <v>226.71428571428572</v>
      </c>
      <c r="F12" s="451">
        <f>IF(ISNUMBER(Datos!N12),Datos!N12," - ")</f>
        <v>3315</v>
      </c>
      <c r="G12" s="452">
        <f t="shared" si="1"/>
        <v>473.57142857142856</v>
      </c>
      <c r="H12" s="451">
        <f>IF(ISNUMBER(Datos!O12),Datos!O12," - ")</f>
        <v>3704</v>
      </c>
      <c r="I12" s="452">
        <f t="shared" si="2"/>
        <v>529.14285714285711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1634</v>
      </c>
      <c r="E14" s="1147">
        <f t="shared" si="0"/>
        <v>204.25</v>
      </c>
      <c r="F14" s="1146">
        <f>SUBTOTAL(9,F9:F13)</f>
        <v>3412</v>
      </c>
      <c r="G14" s="1147">
        <f t="shared" si="1"/>
        <v>426.5</v>
      </c>
      <c r="H14" s="1146">
        <f>SUBTOTAL(9,H9:H13)</f>
        <v>3745</v>
      </c>
      <c r="I14" s="1147">
        <f>IF(ISNUMBER(H14/B14),H14/B14," - ")</f>
        <v>468.125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906</v>
      </c>
      <c r="E17" s="452">
        <f t="shared" si="3"/>
        <v>129.42857142857142</v>
      </c>
      <c r="F17" s="451">
        <f>IF(ISNUMBER(Datos!N17),Datos!N17," - ")</f>
        <v>3603</v>
      </c>
      <c r="G17" s="452">
        <f t="shared" si="4"/>
        <v>514.71428571428567</v>
      </c>
      <c r="H17" s="451">
        <f>IF(ISNUMBER(Datos!O17),Datos!O17," - ")</f>
        <v>96</v>
      </c>
      <c r="I17" s="452">
        <f t="shared" si="5"/>
        <v>13.714285714285714</v>
      </c>
    </row>
    <row r="18" spans="1:9">
      <c r="A18" s="450" t="str">
        <f>Datos!A18</f>
        <v>Jdos. Violencia contra la mujer</v>
      </c>
      <c r="B18" s="480">
        <f>Datos!AO18</f>
        <v>1</v>
      </c>
      <c r="C18" s="481">
        <f>Datos!AQ18</f>
        <v>1</v>
      </c>
      <c r="D18" s="451">
        <f>IF(ISNUMBER(Datos!M18),Datos!M18," - ")</f>
        <v>92</v>
      </c>
      <c r="E18" s="452">
        <f>IF(ISNUMBER(D18/B18),D18/B18," - ")</f>
        <v>92</v>
      </c>
      <c r="F18" s="451">
        <f>IF(ISNUMBER(Datos!N18),Datos!N18," - ")</f>
        <v>374</v>
      </c>
      <c r="G18" s="452">
        <f>IF(ISNUMBER(F18/B18),F18/B18," - ")</f>
        <v>374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8</v>
      </c>
      <c r="D23" s="1146">
        <f>SUBTOTAL(9,D16:D22)</f>
        <v>998</v>
      </c>
      <c r="E23" s="1147">
        <f t="shared" si="3"/>
        <v>124.75</v>
      </c>
      <c r="F23" s="1146">
        <f>SUBTOTAL(9,F16:F22)</f>
        <v>3977</v>
      </c>
      <c r="G23" s="1147">
        <f t="shared" si="4"/>
        <v>497.125</v>
      </c>
      <c r="H23" s="1146">
        <f>SUBTOTAL(9,H16:H22)</f>
        <v>96</v>
      </c>
      <c r="I23" s="1147">
        <f>IF(ISNUMBER(H23/B23),H23/B23," - ")</f>
        <v>12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2632</v>
      </c>
      <c r="E31" s="1085">
        <f>IF(ISNUMBER(D31/B31),D31/B31," - ")</f>
        <v>329</v>
      </c>
      <c r="F31" s="1084">
        <f>SUBTOTAL(9,F8:F30)</f>
        <v>7389</v>
      </c>
      <c r="G31" s="1085">
        <f>IF(ISNUMBER(F31/B31),F31/B31," - ")</f>
        <v>923.625</v>
      </c>
      <c r="H31" s="1084">
        <f>SUBTOTAL(9,H8:H30)</f>
        <v>3841</v>
      </c>
      <c r="I31" s="1085">
        <f>IF(ISNUMBER(H31/B31),H31/B31," - ")</f>
        <v>480.125</v>
      </c>
    </row>
    <row r="34" spans="1:1">
      <c r="A34" s="439" t="str">
        <f>Criterios!A4</f>
        <v>Fecha Informe: 14 abr. 2023</v>
      </c>
    </row>
    <row r="39" spans="1:1">
      <c r="A39" s="462"/>
    </row>
  </sheetData>
  <sheetProtection algorithmName="SHA-512" hashValue="satj+Md9utEiEcKXK1314iq/YC2rjxIjMR80aRz7LBDDBxL2zVBMyqrKhgicEcCHQ7rymdorf46VLs1xxBgoTQ==" saltValue="ACb1WN2Zt2H10rYjUGVP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PATERNA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32</v>
      </c>
      <c r="C10" s="489">
        <f>IF(ISNUMBER(Datos!Q10),Datos!Q10," - ")</f>
        <v>34</v>
      </c>
      <c r="D10" s="456">
        <f>IF(ISNUMBER(Datos!R10),Datos!R10," - ")</f>
        <v>33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1799</v>
      </c>
      <c r="C12" s="489">
        <f>IF(ISNUMBER(Datos!Q12),Datos!Q12," - ")</f>
        <v>1517</v>
      </c>
      <c r="D12" s="456">
        <f>IF(ISNUMBER(Datos!R12),Datos!R12," - ")</f>
        <v>6597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1831</v>
      </c>
      <c r="C14" s="1150">
        <f>SUBTOTAL(9,C9:C13)</f>
        <v>1551</v>
      </c>
      <c r="D14" s="1148">
        <f>SUBTOTAL(9,D9:D13)</f>
        <v>6630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288</v>
      </c>
      <c r="C17" s="489">
        <f>IF(ISNUMBER(Datos!Q17),Datos!Q17," - ")</f>
        <v>280</v>
      </c>
      <c r="D17" s="456">
        <f>IF(ISNUMBER(Datos!R17),Datos!R17," - ")</f>
        <v>300</v>
      </c>
    </row>
    <row r="18" spans="1:4">
      <c r="A18" s="450" t="str">
        <f>Datos!A18</f>
        <v>Jdos. Violencia contra la mujer</v>
      </c>
      <c r="B18" s="488">
        <f>IF(ISNUMBER(Datos!P18),Datos!P18," - ")</f>
        <v>11</v>
      </c>
      <c r="C18" s="489">
        <f>IF(ISNUMBER(Datos!Q18),Datos!Q18," - ")</f>
        <v>13</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299</v>
      </c>
      <c r="C23" s="1150">
        <f>SUBTOTAL(9,C16:C22)</f>
        <v>293</v>
      </c>
      <c r="D23" s="1148">
        <f>SUBTOTAL(9,D16:D22)</f>
        <v>305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2130</v>
      </c>
      <c r="C31" s="1089">
        <f>SUBTOTAL(9,C8:C30)</f>
        <v>1844</v>
      </c>
      <c r="D31" s="1090">
        <f>SUBTOTAL(9,D8:D30)</f>
        <v>6935</v>
      </c>
    </row>
    <row r="32" spans="1:4" ht="7.5" customHeight="1"/>
    <row r="33" spans="1:1" ht="6" customHeight="1"/>
    <row r="34" spans="1:1">
      <c r="A34" s="439" t="str">
        <f>Criterios!A4</f>
        <v>Fecha Informe: 14 abr. 2023</v>
      </c>
    </row>
    <row r="39" spans="1:1">
      <c r="A39" s="462"/>
    </row>
  </sheetData>
  <sheetProtection algorithmName="SHA-512" hashValue="89K6fp3ypPDRzWLtwUOHO8D2u0lYh3vDqtnUoLyB/r1T8J12ng8lg3cQwXJ4/tztoPfVF3AtyCcYuT/Jd5eNTA==" saltValue="weY7d0rG6F18ymDwbSL+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PATERNA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v>
      </c>
      <c r="C10" s="515">
        <f>IF(ISNUMBER((Datos!J10-Datos!T10)/Datos!T10),(Datos!J10-Datos!T10)/Datos!T10," - ")</f>
        <v>0.24161073825503357</v>
      </c>
      <c r="D10" s="515">
        <f>IF(ISNUMBER((Datos!K10-Datos!U10)/Datos!U10),(Datos!K10-Datos!U10)/Datos!U10," - ")</f>
        <v>0.15068493150684931</v>
      </c>
      <c r="E10" s="515">
        <f>IF(ISNUMBER((Datos!L10-Datos!V10)/Datos!V10),(Datos!L10-Datos!V10)/Datos!V10," - ")</f>
        <v>0.51515151515151514</v>
      </c>
      <c r="F10" s="515">
        <f>IF(ISNUMBER((Datos!M10-Datos!W10)/Datos!W10),(Datos!M10-Datos!W10)/Datos!W10," - ")</f>
        <v>-0.265625</v>
      </c>
      <c r="G10" s="516">
        <f>IF(ISNUMBER((Datos!N10-Datos!X10)/Datos!X10),(Datos!N10-Datos!X10)/Datos!X10," - ")</f>
        <v>0.3108108108108108</v>
      </c>
      <c r="H10" s="514">
        <f>IF(ISNUMBER(((NºAsuntos!G10/NºAsuntos!E10)-Datos!BD10)/Datos!BD10),((NºAsuntos!G10/NºAsuntos!E10)-Datos!BD10)/Datos!BD10," - ")</f>
        <v>-7.3232136245834856E-2</v>
      </c>
      <c r="I10" s="515">
        <f>IF(ISNUMBER(((NºAsuntos!I10/NºAsuntos!G10)-Datos!BE10)/Datos!BE10),((NºAsuntos!I10/NºAsuntos!G10)-Datos!BE10)/Datos!BE10," - ")</f>
        <v>0.31673881673881682</v>
      </c>
      <c r="J10" s="521">
        <f>IF(ISNUMBER((('Resol  Asuntos'!D10/NºAsuntos!G10)-Datos!BF10)/Datos!BF10),(('Resol  Asuntos'!D10/NºAsuntos!G10)-Datos!BF10)/Datos!BF10," - ")</f>
        <v>-0.36179315476190471</v>
      </c>
      <c r="K10" s="522">
        <f>IF(ISNUMBER((((NºAsuntos!C10+NºAsuntos!E10)/NºAsuntos!G10)-Datos!BG10)/Datos!BG10),(((NºAsuntos!C10+NºAsuntos!E10)/NºAsuntos!G10)-Datos!BG10)/Datos!BG10," - ")</f>
        <v>5.839318967810591E-2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-8.5676037483266396E-2</v>
      </c>
      <c r="C12" s="515">
        <f>IF(ISNUMBER(
   IF(J_V="SI",(Datos!J12-Datos!T12)/Datos!T12,(Datos!J12+Datos!Z12-(Datos!T12+Datos!AH12))/(Datos!T12+Datos!AH12))
     ),IF(J_V="SI",(Datos!J12-Datos!T12)/Datos!T12,(Datos!J12+Datos!Z12-(Datos!T12+Datos!AH12))/(Datos!T12+Datos!AH12))," - ")</f>
        <v>0.128380187416332</v>
      </c>
      <c r="D12" s="515">
        <f>IF(ISNUMBER(
   IF(J_V="SI",(Datos!K12-Datos!U12)/Datos!U12,(Datos!K12+Datos!AA12-(Datos!U12+Datos!AI12))/(Datos!U12+Datos!AI12))
     ),IF(J_V="SI",(Datos!K12-Datos!U12)/Datos!U12,(Datos!K12+Datos!AA12-(Datos!U12+Datos!AI12))/(Datos!U12+Datos!AI12))," - ")</f>
        <v>4.0411941076782688E-3</v>
      </c>
      <c r="E12" s="515">
        <f>IF(ISNUMBER(
   IF(J_V="SI",(Datos!L12-Datos!V12)/Datos!V12,(Datos!L12+Datos!AB12-(Datos!V12+Datos!AJ12))/(Datos!V12+Datos!AJ12))
     ),IF(J_V="SI",(Datos!L12-Datos!V12)/Datos!V12,(Datos!L12+Datos!AB12-(Datos!V12+Datos!AJ12))/(Datos!V12+Datos!AJ12))," - ")</f>
        <v>0.18477306002928257</v>
      </c>
      <c r="F12" s="515">
        <f>IF(ISNUMBER((Datos!M12-Datos!W12)/Datos!W12),(Datos!M12-Datos!W12)/Datos!W12," - ")</f>
        <v>5.2387267904509281E-2</v>
      </c>
      <c r="G12" s="516">
        <f>IF(ISNUMBER((Datos!N12-Datos!X12)/Datos!X12),(Datos!N12-Datos!X12)/Datos!X12," - ")</f>
        <v>0.13449691991786447</v>
      </c>
      <c r="H12" s="514">
        <f>IF(ISNUMBER(((NºAsuntos!G12/NºAsuntos!E12)-Datos!BD12)/Datos!BD12),((NºAsuntos!G12/NºAsuntos!E12)-Datos!BD12)/Datos!BD12," - ")</f>
        <v>-0.11019246411385018</v>
      </c>
      <c r="I12" s="515">
        <f>IF(ISNUMBER(((NºAsuntos!I12/NºAsuntos!G12)-Datos!BE12)/Datos!BE12),((NºAsuntos!I12/NºAsuntos!G12)-Datos!BE12)/Datos!BE12," - ")</f>
        <v>0.18000443306733654</v>
      </c>
      <c r="J12" s="521">
        <f>IF(ISNUMBER((('Resol  Asuntos'!D12/NºAsuntos!G12)-Datos!BF12)/Datos!BF12),(('Resol  Asuntos'!D12/NºAsuntos!G12)-Datos!BF12)/Datos!BF12," - ")</f>
        <v>-0.45906487394671208</v>
      </c>
      <c r="K12" s="522">
        <f>IF(ISNUMBER((((NºAsuntos!C12+NºAsuntos!E12)/NºAsuntos!G12)-Datos!BG12)/Datos!BG12),(((NºAsuntos!C12+NºAsuntos!E12)/NºAsuntos!G12)-Datos!BG12)/Datos!BG12," - ")</f>
        <v>5.2773649779591057E-2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-8.4196547144754316E-2</v>
      </c>
      <c r="C14" s="1152">
        <f>IF(ISNUMBER(
   IF(J_V="SI",(Datos!J14-Datos!T14)/Datos!T14,(Datos!J14+Datos!Z14-(Datos!T14+Datos!AH14))/(Datos!T14+Datos!AH14))
     ),IF(J_V="SI",(Datos!J14-Datos!T14)/Datos!T14,(Datos!J14+Datos!Z14-(Datos!T14+Datos!AH14))/(Datos!T14+Datos!AH14))," - ")</f>
        <v>0.13059456621603885</v>
      </c>
      <c r="D14" s="1152">
        <f>IF(ISNUMBER(
   IF(J_V="SI",(Datos!K14-Datos!U14)/Datos!U14,(Datos!K14+Datos!AA14-(Datos!U14+Datos!AI14))/(Datos!U14+Datos!AI14))
     ),IF(J_V="SI",(Datos!K14-Datos!U14)/Datos!U14,(Datos!K14+Datos!AA14-(Datos!U14+Datos!AI14))/(Datos!U14+Datos!AI14))," - ")</f>
        <v>6.7800946654726878E-3</v>
      </c>
      <c r="E14" s="1152">
        <f>IF(ISNUMBER(
   IF(J_V="SI",(Datos!L14-Datos!V14)/Datos!V14,(Datos!L14+Datos!AB14-(Datos!V14+Datos!AJ14))/(Datos!V14+Datos!AJ14))
     ),IF(J_V="SI",(Datos!L14-Datos!V14)/Datos!V14,(Datos!L14+Datos!AB14-(Datos!V14+Datos!AJ14))/(Datos!V14+Datos!AJ14))," - ")</f>
        <v>0.18793503480278423</v>
      </c>
      <c r="F14" s="1153">
        <f>IF(ISNUMBER((Datos!M14-Datos!W14)/Datos!W14),(Datos!M14-Datos!W14)/Datos!W14," - ")</f>
        <v>3.9440203562340966E-2</v>
      </c>
      <c r="G14" s="1154">
        <f>IF(ISNUMBER((Datos!N14-Datos!X14)/Datos!X14),(Datos!N14-Datos!X14)/Datos!X14," - ")</f>
        <v>0.13885180240320427</v>
      </c>
      <c r="H14" s="1154">
        <f>IF(ISNUMBER(((NºAsuntos!G14/NºAsuntos!E14)-Datos!BD14)/Datos!BD14),((NºAsuntos!G14/NºAsuntos!E14)-Datos!BD14)/Datos!BD14," - ")</f>
        <v>-0.10951270707496664</v>
      </c>
      <c r="I14" s="1154">
        <f>IF(ISNUMBER(((NºAsuntos!I14/NºAsuntos!G14)-Datos!BE14)/Datos!BE14),((NºAsuntos!I14/NºAsuntos!G14)-Datos!BE14)/Datos!BE14," - ")</f>
        <v>0.17993496404744141</v>
      </c>
      <c r="J14" s="1154">
        <f>IF(ISNUMBER((('Resol  Asuntos'!D14/NºAsuntos!G14)-Datos!BF14)/Datos!BF14),(('Resol  Asuntos'!D14/NºAsuntos!G14)-Datos!BF14)/Datos!BF14," - ")</f>
        <v>-0.45646485802869979</v>
      </c>
      <c r="K14" s="1154">
        <f>IF(ISNUMBER((((NºAsuntos!C14+NºAsuntos!E14)/NºAsuntos!G14)-Datos!BG14)/Datos!BG14),(((NºAsuntos!C14+NºAsuntos!E14)/NºAsuntos!G14)-Datos!BG14)/Datos!BG14," - ")</f>
        <v>5.242175424434839E-2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-2.5961538461538463E-2</v>
      </c>
      <c r="C17" s="515">
        <f>IF(ISNUMBER(
   IF(D_I="SI",(Datos!J17-Datos!T17)/Datos!T17,(Datos!J17+Datos!AD17-(Datos!T17+Datos!AL17))/(Datos!T17+Datos!AL17))
     ),IF(D_I="SI",(Datos!J17-Datos!T17)/Datos!T17,(Datos!J17+Datos!AD17-(Datos!T17+Datos!AL17))/(Datos!T17+Datos!AL17))," - ")</f>
        <v>0.12538559245146072</v>
      </c>
      <c r="D17" s="515">
        <f>IF(ISNUMBER(
   IF(D_I="SI",(Datos!K17-Datos!U17)/Datos!U17,(Datos!K17+Datos!AE17-(Datos!U17+Datos!AM17))/(Datos!U17+Datos!AM17))
     ),IF(D_I="SI",(Datos!K17-Datos!U17)/Datos!U17,(Datos!K17+Datos!AE17-(Datos!U17+Datos!AM17))/(Datos!U17+Datos!AM17))," - ")</f>
        <v>5.0957715937838814E-2</v>
      </c>
      <c r="E17" s="515">
        <f>IF(ISNUMBER(
   IF(D_I="SI",(Datos!L17-Datos!V17)/Datos!V17,(Datos!L17+Datos!AF17-(Datos!V17+Datos!AN17))/(Datos!V17+Datos!AN17))
     ),IF(D_I="SI",(Datos!L17-Datos!V17)/Datos!V17,(Datos!L17+Datos!AF17-(Datos!V17+Datos!AN17))/(Datos!V17+Datos!AN17))," - ")</f>
        <v>0.24481737413622903</v>
      </c>
      <c r="F17" s="515">
        <f>IF(ISNUMBER((Datos!M17-Datos!W17)/Datos!W17),(Datos!M17-Datos!W17)/Datos!W17," - ")</f>
        <v>-0.11263467189030363</v>
      </c>
      <c r="G17" s="516">
        <f>IF(ISNUMBER((Datos!N17-Datos!X17)/Datos!X17),(Datos!N17-Datos!X17)/Datos!X17," - ")</f>
        <v>7.8419634839868302E-2</v>
      </c>
      <c r="H17" s="514">
        <f>IF(ISNUMBER(((NºAsuntos!G17/NºAsuntos!E17)-Datos!BD17)/Datos!BD17),((NºAsuntos!G17/NºAsuntos!E17)-Datos!BD17)/Datos!BD17," - ")</f>
        <v>-6.6135444609250291E-2</v>
      </c>
      <c r="I17" s="515">
        <f>IF(ISNUMBER(((NºAsuntos!I17/NºAsuntos!G17)-Datos!BE17)/Datos!BE17),((NºAsuntos!I17/NºAsuntos!G17)-Datos!BE17)/Datos!BE17," - ")</f>
        <v>0.18445999801751919</v>
      </c>
      <c r="J17" s="521">
        <f>IF(ISNUMBER((('Resol  Asuntos'!D17/NºAsuntos!G17)-Datos!BF17)/Datos!BF17),(('Resol  Asuntos'!D17/NºAsuntos!G17)-Datos!BF17)/Datos!BF17," - ")</f>
        <v>-0.15566029474569112</v>
      </c>
      <c r="K17" s="522">
        <f>IF(ISNUMBER((((NºAsuntos!C17+NºAsuntos!E17)/NºAsuntos!G17)-Datos!BG17)/Datos!BG17),(((NºAsuntos!C17+NºAsuntos!E17)/NºAsuntos!G17)-Datos!BG17)/Datos!BG17," - ")</f>
        <v>4.7957072400089187E-2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0.43478260869565216</v>
      </c>
      <c r="C18" s="515">
        <f>IF(ISNUMBER(
   IF(D_I="SI",(Datos!J18-Datos!T18)/Datos!T18,(Datos!J18+Datos!AD18-(Datos!T18+Datos!AL18))/(Datos!T18+Datos!AL18))
     ),IF(D_I="SI",(Datos!J18-Datos!T18)/Datos!T18,(Datos!J18+Datos!AD18-(Datos!T18+Datos!AL18))/(Datos!T18+Datos!AL18))," - ")</f>
        <v>-0.11157455683003129</v>
      </c>
      <c r="D18" s="515">
        <f>IF(ISNUMBER(
   IF(D_I="SI",(Datos!K18-Datos!U18)/Datos!U18,(Datos!K18+Datos!AE18-(Datos!U18+Datos!AM18))/(Datos!U18+Datos!AM18))
     ),IF(D_I="SI",(Datos!K18-Datos!U18)/Datos!U18,(Datos!K18+Datos!AE18-(Datos!U18+Datos!AM18))/(Datos!U18+Datos!AM18))," - ")</f>
        <v>-2.9882604055496264E-2</v>
      </c>
      <c r="E18" s="515">
        <f>IF(ISNUMBER(
   IF(D_I="SI",(Datos!L18-Datos!V18)/Datos!V18,(Datos!L18+Datos!AF18-(Datos!V18+Datos!AN18))/(Datos!V18+Datos!AN18))
     ),IF(D_I="SI",(Datos!L18-Datos!V18)/Datos!V18,(Datos!L18+Datos!AF18-(Datos!V18+Datos!AN18))/(Datos!V18+Datos!AN18))," - ")</f>
        <v>-0.32575757575757575</v>
      </c>
      <c r="F18" s="515">
        <f>IF(ISNUMBER((Datos!M18-Datos!W18)/Datos!W18),(Datos!M18-Datos!W18)/Datos!W18," - ")</f>
        <v>-7.0707070707070704E-2</v>
      </c>
      <c r="G18" s="516">
        <f>IF(ISNUMBER((Datos!N18-Datos!X18)/Datos!X18),(Datos!N18-Datos!X18)/Datos!X18," - ")</f>
        <v>-6.965174129353234E-2</v>
      </c>
      <c r="H18" s="514">
        <f>IF(ISNUMBER(((NºAsuntos!G18/NºAsuntos!E18)-Datos!BD18)/Datos!BD18),((NºAsuntos!G18/NºAsuntos!E18)-Datos!BD18)/Datos!BD18," - ")</f>
        <v>9.1951388158191399E-2</v>
      </c>
      <c r="I18" s="515">
        <f>IF(ISNUMBER(((NºAsuntos!I18/NºAsuntos!G18)-Datos!BE18)/Datos!BE18),((NºAsuntos!I18/NºAsuntos!G18)-Datos!BE18)/Datos!BE18," - ")</f>
        <v>-0.30498883221655493</v>
      </c>
      <c r="J18" s="521">
        <f>IF(ISNUMBER((('Resol  Asuntos'!D18/NºAsuntos!G18)-Datos!BF18)/Datos!BF18),(('Resol  Asuntos'!D18/NºAsuntos!G18)-Datos!BF18)/Datos!BF18," - ")</f>
        <v>-4.2081985976375462E-2</v>
      </c>
      <c r="K18" s="522">
        <f>IF(ISNUMBER((((NºAsuntos!C18+NºAsuntos!E18)/NºAsuntos!G18)-Datos!BG18)/Datos!BG18),(((NºAsuntos!C18+NºAsuntos!E18)/NºAsuntos!G18)-Datos!BG18)/Datos!BG18," - ")</f>
        <v>-3.4909390082681048E-2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1.1484098939929329E-2</v>
      </c>
      <c r="C23" s="1152">
        <f>IF(ISNUMBER(
   IF(Criterios!B14="SI",(Datos!J23-Datos!T23)/Datos!T23,(Datos!J23+Datos!AD23-(Datos!T23+Datos!AL23))/(Datos!T23+Datos!AL23))
     ),IF(Criterios!B14="SI",(Datos!J23-Datos!T23)/Datos!T23,(Datos!J23+Datos!AD23-(Datos!T23+Datos!AL23))/(Datos!T23+Datos!AL23))," - ")</f>
        <v>9.0262751159196297E-2</v>
      </c>
      <c r="D23" s="1152">
        <f>IF(ISNUMBER(
   IF(Criterios!B14="SI",(Datos!K23-Datos!U23)/Datos!U23,(Datos!K23+Datos!AE23-(Datos!U23+Datos!AM23))/(Datos!U23+Datos!AM23))
     ),IF(Criterios!B14="SI",(Datos!K23-Datos!U23)/Datos!U23,(Datos!K23+Datos!AE23-(Datos!U23+Datos!AM23))/(Datos!U23+Datos!AM23))," - ")</f>
        <v>3.9252047596971103E-2</v>
      </c>
      <c r="E23" s="1152">
        <f>IF(ISNUMBER(
   IF(Criterios!B14="SI",(Datos!L23-Datos!V23)/Datos!V23,(Datos!L23+Datos!AF23-(Datos!V23+Datos!AN23))/(Datos!V23+Datos!AN23))
     ),IF(Criterios!B14="SI",(Datos!L23-Datos!V23)/Datos!V23,(Datos!L23+Datos!AF23-(Datos!V23+Datos!AN23))/(Datos!V23+Datos!AN23))," - ")</f>
        <v>0.17903930131004367</v>
      </c>
      <c r="F23" s="1153">
        <f>IF(ISNUMBER((Datos!M23-Datos!W23)/Datos!W23),(Datos!M23-Datos!W23)/Datos!W23," - ")</f>
        <v>-0.10892857142857143</v>
      </c>
      <c r="G23" s="1154">
        <f>IF(ISNUMBER((Datos!N23-Datos!X23)/Datos!X23),(Datos!N23-Datos!X23)/Datos!X23," - ")</f>
        <v>6.2516697835960464E-2</v>
      </c>
      <c r="H23" s="1154">
        <f>IF(ISNUMBER(((NºAsuntos!G23/NºAsuntos!E23)-Datos!BD23)/Datos!BD23),((NºAsuntos!G23/NºAsuntos!E23)-Datos!BD23)/Datos!BD23," - ")</f>
        <v>-4.6787532187070699E-2</v>
      </c>
      <c r="I23" s="1154">
        <f>IF(ISNUMBER(((NºAsuntos!I23/NºAsuntos!G23)-Datos!BE23)/Datos!BE23),((NºAsuntos!I23/NºAsuntos!G23)-Datos!BE23)/Datos!BE23," - ")</f>
        <v>0.13450755669550826</v>
      </c>
      <c r="J23" s="1154">
        <f>IF(ISNUMBER((('Resol  Asuntos'!D23/NºAsuntos!G23)-Datos!BF23)/Datos!BF23),(('Resol  Asuntos'!D23/NºAsuntos!G23)-Datos!BF23)/Datos!BF23," - ")</f>
        <v>-0.14258390865639931</v>
      </c>
      <c r="K23" s="1154">
        <f>IF(ISNUMBER((((NºAsuntos!C23+NºAsuntos!E23)/NºAsuntos!G23)-Datos!BG23)/Datos!BG23),(((NºAsuntos!C23+NºAsuntos!E23)/NºAsuntos!G23)-Datos!BG23)/Datos!BG23," - ")</f>
        <v>3.7796334167588375E-2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-6.2078823769654894E-2</v>
      </c>
      <c r="C31" s="1092">
        <f>IF(ISNUMBER(
   IF(J_V="SI",(Datos!J31-Datos!T31)/Datos!T31,(Datos!J31+Datos!Z31-(Datos!T31+Datos!AH31))/(Datos!T31+Datos!AH31))
     ),IF(J_V="SI",(Datos!J31-Datos!T31)/Datos!T31,(Datos!J31+Datos!Z31-(Datos!T31+Datos!AH31))/(Datos!T31+Datos!AH31))," - ")</f>
        <v>0.11207324863368585</v>
      </c>
      <c r="D31" s="1092">
        <f>IF(ISNUMBER(
   IF(J_V="SI",(Datos!K31-Datos!U31)/Datos!U31,(Datos!K31+Datos!AA31-(Datos!U31+Datos!AI31))/(Datos!U31+Datos!AI31))
     ),IF(J_V="SI",(Datos!K31-Datos!U31)/Datos!U31,(Datos!K31+Datos!AA31-(Datos!U31+Datos!AI31))/(Datos!U31+Datos!AI31))," - ")</f>
        <v>2.1486562150055993E-2</v>
      </c>
      <c r="E31" s="1092">
        <f>IF(ISNUMBER(
   IF(J_V="SI",(Datos!L31-Datos!V31)/Datos!V31,(Datos!L31+Datos!AB31-(Datos!V31+Datos!AJ31))/(Datos!V31+Datos!AJ31))
     ),IF(J_V="SI",(Datos!L31-Datos!V31)/Datos!V31,(Datos!L31+Datos!AB31-(Datos!V31+Datos!AJ31))/(Datos!V31+Datos!AJ31))," - ")</f>
        <v>0.1857173960374483</v>
      </c>
      <c r="F31" s="1093">
        <f>IF(ISNUMBER((Datos!M31-Datos!W31)/Datos!W31),(Datos!M31-Datos!W31)/Datos!W31," - ")</f>
        <v>-2.2288261515601784E-2</v>
      </c>
      <c r="G31" s="1094">
        <f>IF(ISNUMBER((Datos!N31-Datos!X31)/Datos!X31),(Datos!N31-Datos!X31)/Datos!X31," - ")</f>
        <v>9.6453479744769255E-2</v>
      </c>
      <c r="H31" s="1095">
        <f>IF(ISNUMBER((Tasas!B31-Datos!BD31)/Datos!BD31),(Tasas!B31-Datos!BD31)/Datos!BD31," - ")</f>
        <v>-8.1457481865449322E-2</v>
      </c>
      <c r="I31" s="1096">
        <f>IF(ISNUMBER((Tasas!C31-Datos!BE31)/Datos!BE31),(Tasas!C31-Datos!BE31)/Datos!BE31," - ")</f>
        <v>0.16077630384262145</v>
      </c>
      <c r="J31" s="1097">
        <f>IF(ISNUMBER((Tasas!D31-Datos!BF31)/Datos!BF31),(Tasas!D31-Datos!BF31)/Datos!BF31," - ")</f>
        <v>-0.37247030432156958</v>
      </c>
      <c r="K31" s="1097">
        <f>IF(ISNUMBER((Tasas!E31-Datos!BG31)/Datos!BG31),(Tasas!E31-Datos!BG31)/Datos!BG31," - ")</f>
        <v>4.4707571439650429E-2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NYrpesoDiE9U2wq41jfNwEhFrX/XyCW1dvRVWADfhj7McFoPdNT7nzQAGL12nakZ8nLr7btVL6PLUGt75ztqQ==" saltValue="P4TxSW+aGCrgD4XnIYVE+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PATERNA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0.90810810810810816</v>
      </c>
      <c r="C10" s="498">
        <f>IF(ISNUMBER(NºAsuntos!I10/NºAsuntos!G10),NºAsuntos!I10/NºAsuntos!G10," - ")</f>
        <v>0.29761904761904762</v>
      </c>
      <c r="D10" s="499">
        <f>IF(ISNUMBER('Resol  Asuntos'!D10/NºAsuntos!G10),'Resol  Asuntos'!D10/NºAsuntos!G10," - ")</f>
        <v>0.27976190476190477</v>
      </c>
      <c r="E10" s="500">
        <f>IF(ISNUMBER((NºAsuntos!C10+NºAsuntos!E10)/NºAsuntos!G10),(NºAsuntos!C10+NºAsuntos!E10)/NºAsuntos!G10," - ")</f>
        <v>1.2976190476190477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0.9137501482975442</v>
      </c>
      <c r="C12" s="498">
        <f>IF(ISNUMBER(NºAsuntos!I12/NºAsuntos!G12),NºAsuntos!I12/NºAsuntos!G12," - ")</f>
        <v>0.52531809919501427</v>
      </c>
      <c r="D12" s="499">
        <f>IF(ISNUMBER('Resol  Asuntos'!D12/NºAsuntos!G12),'Resol  Asuntos'!D12/NºAsuntos!G12," - ")</f>
        <v>0.20605037652557778</v>
      </c>
      <c r="E12" s="500">
        <f>IF(ISNUMBER((NºAsuntos!C12+NºAsuntos!E12)/NºAsuntos!G12),(NºAsuntos!C12+NºAsuntos!E12)/NºAsuntos!G12," - ")</f>
        <v>1.5377823941833291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0.91362897608544236</v>
      </c>
      <c r="C14" s="1156">
        <f>IF(ISNUMBER(NºAsuntos!I14/NºAsuntos!G14),NºAsuntos!I14/NºAsuntos!G14," - ")</f>
        <v>0.52045743329097838</v>
      </c>
      <c r="D14" s="1157">
        <f>IF(ISNUMBER('Resol  Asuntos'!D14/NºAsuntos!G14),'Resol  Asuntos'!D14/NºAsuntos!G14," - ")</f>
        <v>0.20762388818297331</v>
      </c>
      <c r="E14" s="1158">
        <f>IF(ISNUMBER((NºAsuntos!C14+NºAsuntos!E14)/NºAsuntos!G14),(NºAsuntos!C14+NºAsuntos!E14)/NºAsuntos!G14," - ")</f>
        <v>1.5326556543837357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0.9377620122541116</v>
      </c>
      <c r="C17" s="498">
        <f>IF(ISNUMBER(NºAsuntos!I17/NºAsuntos!G17),NºAsuntos!I17/NºAsuntos!G17," - ")</f>
        <v>0.21681568088033012</v>
      </c>
      <c r="D17" s="499">
        <f>IF(ISNUMBER('Resol  Asuntos'!D17/NºAsuntos!G17),'Resol  Asuntos'!D17/NºAsuntos!G17," - ")</f>
        <v>0.15577716643741404</v>
      </c>
      <c r="E17" s="500">
        <f>IF(ISNUMBER((NºAsuntos!C17+NºAsuntos!E17)/NºAsuntos!G17),(NºAsuntos!C17+NºAsuntos!E17)/NºAsuntos!G17," - ")</f>
        <v>1.2405433287482805</v>
      </c>
      <c r="G17" s="523"/>
    </row>
    <row r="18" spans="1:7">
      <c r="A18" s="450" t="str">
        <f>Datos!A18</f>
        <v>Jdos. Violencia contra la mujer</v>
      </c>
      <c r="B18" s="497">
        <f>IF(ISNUMBER(NºAsuntos!G18/NºAsuntos!E18),NºAsuntos!G18/NºAsuntos!E18," - ")</f>
        <v>1.0669014084507042</v>
      </c>
      <c r="C18" s="498">
        <f>IF(ISNUMBER(NºAsuntos!I18/NºAsuntos!G18),NºAsuntos!I18/NºAsuntos!G18," - ")</f>
        <v>9.790979097909791E-2</v>
      </c>
      <c r="D18" s="499">
        <f>IF(ISNUMBER('Resol  Asuntos'!D18/NºAsuntos!G18),'Resol  Asuntos'!D18/NºAsuntos!G18," - ")</f>
        <v>0.10121012101210121</v>
      </c>
      <c r="E18" s="500">
        <f>IF(ISNUMBER((NºAsuntos!C18+NºAsuntos!E18)/NºAsuntos!G18),(NºAsuntos!C18+NºAsuntos!E18)/NºAsuntos!G18," - ")</f>
        <v>1.0825082508250825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0.95335979586050468</v>
      </c>
      <c r="C23" s="1156">
        <f>IF(ISNUMBER(NºAsuntos!I23/NºAsuntos!G23),NºAsuntos!I23/NºAsuntos!G23," - ")</f>
        <v>0.20074349442379183</v>
      </c>
      <c r="D23" s="1159">
        <f>IF(ISNUMBER('Resol  Asuntos'!D23/NºAsuntos!G23),'Resol  Asuntos'!D23/NºAsuntos!G23," - ")</f>
        <v>0.14840148698884759</v>
      </c>
      <c r="E23" s="1158">
        <f>IF(ISNUMBER((NºAsuntos!C23+NºAsuntos!E23)/NºAsuntos!G23),(NºAsuntos!C23+NºAsuntos!E23)/NºAsuntos!G23," - ")</f>
        <v>1.219182156133829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0.93151646668368648</v>
      </c>
      <c r="C31" s="1099">
        <f>IF(ISNUMBER(NºAsuntos!I31/NºAsuntos!G31),NºAsuntos!I31/NºAsuntos!G31," - ")</f>
        <v>0.37314148681055154</v>
      </c>
      <c r="D31" s="1100">
        <f>IF(ISNUMBER('Resol  Asuntos'!D31/NºAsuntos!G31),'Resol  Asuntos'!D31/NºAsuntos!G31," - ")</f>
        <v>0.18033573141486811</v>
      </c>
      <c r="E31" s="1101">
        <f>IF(ISNUMBER((NºAsuntos!C31+NºAsuntos!E31)/NºAsuntos!G31),(NºAsuntos!C31+NºAsuntos!E31)/NºAsuntos!G31," - ")</f>
        <v>1.3882151421719766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sGjzn2QRnqyU9hmEO6Gkwo/51HSyivBmyx6DlKlopauc63ZfYNPQeAVitQpkOBVmsJGTapHxHY1wJLyK00LlQ==" saltValue="HIgti5RKN8Rb/cdlaOlSV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PATERNA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33</v>
      </c>
      <c r="G10" s="373">
        <f>IF(ISNUMBER(Datos!I10),Datos!I10," - ")</f>
        <v>33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168</v>
      </c>
      <c r="X10" s="240">
        <f>IF(ISNUMBER(Datos!Q10),Datos!Q10," - ")</f>
        <v>34</v>
      </c>
      <c r="Y10" s="374">
        <f t="shared" ref="Y10:Y13" si="0">SUM(W10:X10)</f>
        <v>202</v>
      </c>
      <c r="Z10" s="375" t="str">
        <f>IF(ISNUMBER(Datos!CC10),Datos!CC10," - ")</f>
        <v xml:space="preserve"> - </v>
      </c>
      <c r="AA10" s="372">
        <f>IF(ISNUMBER(Datos!L10),Datos!L10,"-")</f>
        <v>50</v>
      </c>
      <c r="AB10" s="374">
        <f>IF(ISNUMBER(Datos!R10),Datos!R10," - ")</f>
        <v>33</v>
      </c>
      <c r="AC10" s="374">
        <f t="shared" ref="AC10:AC13" si="1">IF(ISNUMBER(AA10+AB10),AA10+AB10," - ")</f>
        <v>83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47</v>
      </c>
      <c r="AJ10" s="245" t="str">
        <f>IF(ISNUMBER(Datos!BW10),Datos!BW10," - ")</f>
        <v xml:space="preserve"> - </v>
      </c>
      <c r="AK10" s="246" t="str">
        <f>IF(ISNUMBER(Datos!BX10),Datos!BX10," - ")</f>
        <v xml:space="preserve"> - </v>
      </c>
      <c r="AL10" s="266">
        <f>IF(ISNUMBER(NºAsuntos!G10/NºAsuntos!E10),NºAsuntos!G10/NºAsuntos!E10," - ")</f>
        <v>0.90810810810810816</v>
      </c>
      <c r="AM10" s="284">
        <f>IF(ISNUMBER(((NºAsuntos!I10/NºAsuntos!G10)*11)/factor_trimestre),((NºAsuntos!I10/NºAsuntos!G10)*11)/factor_trimestre," - ")</f>
        <v>3.2738095238095237</v>
      </c>
      <c r="AN10" s="267">
        <f>IF(ISNUMBER('Resol  Asuntos'!D10/NºAsuntos!G10),'Resol  Asuntos'!D10/NºAsuntos!G10," - ")</f>
        <v>0.27976190476190477</v>
      </c>
      <c r="AO10" s="268">
        <f>IF(ISNUMBER((NºAsuntos!C10+NºAsuntos!E10)/NºAsuntos!G10),(NºAsuntos!C10+NºAsuntos!E10)/NºAsuntos!G10," - ")</f>
        <v>1.2976190476190477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1799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1517</v>
      </c>
      <c r="Y12" s="374">
        <f t="shared" si="0"/>
        <v>1517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6597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1587</v>
      </c>
      <c r="AJ12" s="243" t="str">
        <f>IF(ISNUMBER(Datos!BW12),Datos!BW12," - ")</f>
        <v xml:space="preserve"> - </v>
      </c>
      <c r="AK12" s="242" t="str">
        <f>IF(ISNUMBER(Datos!BX12),Datos!BX12," - ")</f>
        <v xml:space="preserve"> - </v>
      </c>
      <c r="AL12" s="266">
        <f>IF(ISNUMBER(NºAsuntos!G12/NºAsuntos!E12),NºAsuntos!G12/NºAsuntos!E12," - ")</f>
        <v>0.9137501482975442</v>
      </c>
      <c r="AM12" s="284">
        <f>IF(ISNUMBER(((NºAsuntos!I12/NºAsuntos!G12)*11)/factor_trimestre),((NºAsuntos!I12/NºAsuntos!G12)*11)/factor_trimestre," - ")</f>
        <v>5.7784990911451573</v>
      </c>
      <c r="AN12" s="267">
        <f>IF(ISNUMBER('Resol  Asuntos'!D12/NºAsuntos!G12),'Resol  Asuntos'!D12/NºAsuntos!G12," - ")</f>
        <v>0.20605037652557778</v>
      </c>
      <c r="AO12" s="268">
        <f>IF(ISNUMBER((NºAsuntos!C12+NºAsuntos!E12)/NºAsuntos!G12),(NºAsuntos!C12+NºAsuntos!E12)/NºAsuntos!G12," - ")</f>
        <v>1.5377823941833291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33</v>
      </c>
      <c r="G14" s="1163">
        <f t="shared" si="5"/>
        <v>33</v>
      </c>
      <c r="H14" s="1162">
        <f t="shared" si="5"/>
        <v>0</v>
      </c>
      <c r="I14" s="1164">
        <f t="shared" si="5"/>
        <v>0</v>
      </c>
      <c r="J14" s="1164">
        <f t="shared" si="5"/>
        <v>0</v>
      </c>
      <c r="K14" s="1164">
        <f t="shared" si="5"/>
        <v>0</v>
      </c>
      <c r="L14" s="1164">
        <f t="shared" si="5"/>
        <v>1831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168</v>
      </c>
      <c r="X14" s="1164">
        <f t="shared" si="6"/>
        <v>1551</v>
      </c>
      <c r="Y14" s="1165">
        <f t="shared" si="6"/>
        <v>1719</v>
      </c>
      <c r="Z14" s="1165">
        <f t="shared" si="6"/>
        <v>0</v>
      </c>
      <c r="AA14" s="1165">
        <f t="shared" si="6"/>
        <v>50</v>
      </c>
      <c r="AB14" s="1165">
        <f t="shared" si="6"/>
        <v>6630</v>
      </c>
      <c r="AC14" s="1165">
        <f t="shared" si="6"/>
        <v>83</v>
      </c>
      <c r="AD14" s="1165">
        <f t="shared" si="6"/>
        <v>0</v>
      </c>
      <c r="AE14" s="1169">
        <f t="shared" si="6"/>
        <v>0</v>
      </c>
      <c r="AF14" s="1162">
        <f t="shared" si="6"/>
        <v>0</v>
      </c>
      <c r="AG14" s="1170">
        <f t="shared" si="6"/>
        <v>0</v>
      </c>
      <c r="AH14" s="1167">
        <f t="shared" si="6"/>
        <v>0</v>
      </c>
      <c r="AI14" s="1162">
        <f t="shared" si="6"/>
        <v>1634</v>
      </c>
      <c r="AJ14" s="1164">
        <f t="shared" si="6"/>
        <v>0</v>
      </c>
      <c r="AK14" s="1167">
        <f>SUBTOTAL(9,AK9:AK13)</f>
        <v>0</v>
      </c>
      <c r="AL14" s="1171">
        <f>IF(ISNUMBER(NºAsuntos!G14/NºAsuntos!E14),NºAsuntos!G14/NºAsuntos!E14," - ")</f>
        <v>0.91362897608544236</v>
      </c>
      <c r="AM14" s="1171">
        <f>IF(ISNUMBER(((NºAsuntos!I14/NºAsuntos!G14)*11)/factor_trimestre),((NºAsuntos!I14/NºAsuntos!G14)*11)/factor_trimestre," - ")</f>
        <v>5.7250317662007619</v>
      </c>
      <c r="AN14" s="1172">
        <f>IF(ISNUMBER('Resol  Asuntos'!D14/NºAsuntos!G14),'Resol  Asuntos'!D14/NºAsuntos!G14," - ")</f>
        <v>0.20762388818297331</v>
      </c>
      <c r="AO14" s="1173">
        <f>IF(ISNUMBER((NºAsuntos!C14+NºAsuntos!E14)/NºAsuntos!G14),(NºAsuntos!C14+NºAsuntos!E14)/NºAsuntos!G14," - ")</f>
        <v>1.5326556543837357</v>
      </c>
      <c r="AP14" s="1174" t="str">
        <f t="shared" si="2"/>
        <v xml:space="preserve"> - </v>
      </c>
      <c r="AQ14" s="1174">
        <f>IF(ISNUMBER((H14-W14+K14)/(F14)),(H14-W14+K14)/(F14)," - ")</f>
        <v>-5.0909090909090908</v>
      </c>
      <c r="AR14" s="1175">
        <f>IF(ISNUMBER((Datos!P14-Datos!Q14)/(Datos!R14-Datos!P14+Datos!Q14)),(Datos!P14-Datos!Q14)/(Datos!R14-Datos!P14+Datos!Q14)," - ")</f>
        <v>4.4094488188976377E-2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875</v>
      </c>
      <c r="G17" s="373">
        <f>IF(ISNUMBER(IF(D_I="SI",Datos!I17,Datos!I17+Datos!AC17)),IF(D_I="SI",Datos!I17,Datos!I17+Datos!AC17)," - ")</f>
        <v>1013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288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5816</v>
      </c>
      <c r="X17" s="240">
        <f>IF(ISNUMBER(Datos!Q17),Datos!Q17," - ")</f>
        <v>280</v>
      </c>
      <c r="Y17" s="374">
        <f t="shared" ref="Y17:Y22" si="9">SUM(W17:X17)</f>
        <v>6096</v>
      </c>
      <c r="Z17" s="375" t="str">
        <f>IF(ISNUMBER(Datos!CC17),Datos!CC17," - ")</f>
        <v xml:space="preserve"> - </v>
      </c>
      <c r="AA17" s="372">
        <f>IF(ISNUMBER(IF(D_I="SI",Datos!L17,Datos!L17+Datos!AF17)),IF(D_I="SI",Datos!L17,Datos!L17+Datos!AF17)," - ")</f>
        <v>1261</v>
      </c>
      <c r="AB17" s="374">
        <f>IF(ISNUMBER(Datos!R17),Datos!R17," - ")</f>
        <v>300</v>
      </c>
      <c r="AC17" s="374">
        <f t="shared" si="8"/>
        <v>1561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906</v>
      </c>
      <c r="AJ17" s="245" t="str">
        <f>IF(ISNUMBER(Datos!BW17),Datos!BW17," - ")</f>
        <v xml:space="preserve"> - </v>
      </c>
      <c r="AK17" s="246" t="str">
        <f>IF(ISNUMBER(Datos!BX17),Datos!BX17," - ")</f>
        <v xml:space="preserve"> - </v>
      </c>
      <c r="AL17" s="266">
        <f>IF(ISNUMBER(NºAsuntos!G17/NºAsuntos!E17),NºAsuntos!G17/NºAsuntos!E17," - ")</f>
        <v>0.9377620122541116</v>
      </c>
      <c r="AM17" s="284">
        <f>IF(ISNUMBER(((NºAsuntos!I17/NºAsuntos!G17)*11)/factor_trimestre),((NºAsuntos!I17/NºAsuntos!G17)*11)/factor_trimestre," - ")</f>
        <v>2.3849724896836313</v>
      </c>
      <c r="AN17" s="267">
        <f>IF(ISNUMBER('Resol  Asuntos'!D17/NºAsuntos!G17),'Resol  Asuntos'!D17/NºAsuntos!G17," - ")</f>
        <v>0.15577716643741404</v>
      </c>
      <c r="AO17" s="268">
        <f>IF(ISNUMBER((NºAsuntos!C17+NºAsuntos!E17)/NºAsuntos!G17),(NºAsuntos!C17+NºAsuntos!E17)/NºAsuntos!G17," - ")</f>
        <v>1.2405433287482805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909</v>
      </c>
      <c r="X18" s="240">
        <f>IF(ISNUMBER(Datos!Q18),Datos!Q18," - ")</f>
        <v>13</v>
      </c>
      <c r="Y18" s="374">
        <f t="shared" si="9"/>
        <v>922</v>
      </c>
      <c r="Z18" s="375" t="str">
        <f>IF(ISNUMBER(Datos!CC18),Datos!CC18," - ")</f>
        <v xml:space="preserve"> - </v>
      </c>
      <c r="AA18" s="372">
        <f>IF(ISNUMBER(Datos!L18),Datos!L18,"-")</f>
        <v>89</v>
      </c>
      <c r="AB18" s="374">
        <f>IF(ISNUMBER(Datos!R18),Datos!R18," - ")</f>
        <v>5</v>
      </c>
      <c r="AC18" s="374">
        <f t="shared" si="8"/>
        <v>94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92</v>
      </c>
      <c r="AJ18" s="245" t="str">
        <f>IF(ISNUMBER(Datos!BW18),Datos!BW18," - ")</f>
        <v xml:space="preserve"> - </v>
      </c>
      <c r="AK18" s="246" t="str">
        <f>IF(ISNUMBER(Datos!BX18),Datos!BX18," - ")</f>
        <v xml:space="preserve"> - </v>
      </c>
      <c r="AL18" s="266">
        <f>IF(ISNUMBER(NºAsuntos!G18/NºAsuntos!E18),NºAsuntos!G18/NºAsuntos!E18," - ")</f>
        <v>1.0669014084507042</v>
      </c>
      <c r="AM18" s="284">
        <f>IF(ISNUMBER(((NºAsuntos!I18/NºAsuntos!G18)*11)/factor_trimestre),((NºAsuntos!I18/NºAsuntos!G18)*11)/factor_trimestre," - ")</f>
        <v>1.0770077007700771</v>
      </c>
      <c r="AN18" s="267">
        <f>IF(ISNUMBER('Resol  Asuntos'!D18/NºAsuntos!G18),'Resol  Asuntos'!D18/NºAsuntos!G18," - ")</f>
        <v>0.10121012101210121</v>
      </c>
      <c r="AO18" s="268">
        <f>IF(ISNUMBER((NºAsuntos!C18+NºAsuntos!E18)/NºAsuntos!G18),(NºAsuntos!C18+NºAsuntos!E18)/NºAsuntos!G18," - ")</f>
        <v>1.0825082508250825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875</v>
      </c>
      <c r="G23" s="1163">
        <f>SUBTOTAL(9,G16:G22)</f>
        <v>1145</v>
      </c>
      <c r="H23" s="1162">
        <f t="shared" ref="H23:O23" si="13">SUBTOTAL(9,H15:H22)</f>
        <v>0</v>
      </c>
      <c r="I23" s="1164">
        <f t="shared" si="13"/>
        <v>0</v>
      </c>
      <c r="J23" s="1164">
        <f t="shared" si="13"/>
        <v>0</v>
      </c>
      <c r="K23" s="1164">
        <f t="shared" si="13"/>
        <v>0</v>
      </c>
      <c r="L23" s="1164">
        <f t="shared" si="13"/>
        <v>299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6725</v>
      </c>
      <c r="X23" s="1164">
        <f t="shared" si="14"/>
        <v>293</v>
      </c>
      <c r="Y23" s="1165">
        <f t="shared" si="14"/>
        <v>7018</v>
      </c>
      <c r="Z23" s="1165">
        <f t="shared" si="14"/>
        <v>0</v>
      </c>
      <c r="AA23" s="1165">
        <f t="shared" si="14"/>
        <v>1350</v>
      </c>
      <c r="AB23" s="1165">
        <f t="shared" si="14"/>
        <v>305</v>
      </c>
      <c r="AC23" s="1165">
        <f t="shared" si="14"/>
        <v>1655</v>
      </c>
      <c r="AD23" s="1165">
        <f t="shared" si="14"/>
        <v>0</v>
      </c>
      <c r="AE23" s="1169">
        <f t="shared" si="14"/>
        <v>0</v>
      </c>
      <c r="AF23" s="1162">
        <f t="shared" si="14"/>
        <v>0</v>
      </c>
      <c r="AG23" s="1170">
        <f t="shared" si="14"/>
        <v>0</v>
      </c>
      <c r="AH23" s="1167">
        <f t="shared" si="14"/>
        <v>0</v>
      </c>
      <c r="AI23" s="1162">
        <f t="shared" si="14"/>
        <v>998</v>
      </c>
      <c r="AJ23" s="1164">
        <f t="shared" si="14"/>
        <v>0</v>
      </c>
      <c r="AK23" s="1167">
        <f t="shared" si="14"/>
        <v>0</v>
      </c>
      <c r="AL23" s="1171">
        <f>IF(ISNUMBER(NºAsuntos!G23/NºAsuntos!E23),NºAsuntos!G23/NºAsuntos!E23," - ")</f>
        <v>0.95335979586050468</v>
      </c>
      <c r="AM23" s="1171">
        <f>IF(ISNUMBER(((NºAsuntos!I23/NºAsuntos!G23)*11)/factor_trimestre),((NºAsuntos!I23/NºAsuntos!G23)*11)/factor_trimestre," - ")</f>
        <v>2.2081784386617103</v>
      </c>
      <c r="AN23" s="1172">
        <f>IF(ISNUMBER('Resol  Asuntos'!D23/NºAsuntos!G23),'Resol  Asuntos'!D23/NºAsuntos!G23," - ")</f>
        <v>0.14840148698884759</v>
      </c>
      <c r="AO23" s="1173">
        <f>IF(ISNUMBER((NºAsuntos!C23+NºAsuntos!E23)/NºAsuntos!G23),(NºAsuntos!C23+NºAsuntos!E23)/NºAsuntos!G23," - ")</f>
        <v>1.219182156133829</v>
      </c>
      <c r="AP23" s="1174" t="str">
        <f t="shared" si="2"/>
        <v xml:space="preserve"> - </v>
      </c>
      <c r="AQ23" s="1174">
        <f>IF(ISNUMBER((H23-W23+K23)/(F23)),(H23-W23+K23)/(F23)," - ")</f>
        <v>-7.6857142857142859</v>
      </c>
      <c r="AR23" s="1175">
        <f>IF(ISNUMBER((Datos!P23-Datos!Q23)/(Datos!R23-Datos!P23+Datos!Q23)),(Datos!P23-Datos!Q23)/(Datos!R23-Datos!P23+Datos!Q23)," - ")</f>
        <v>2.0066889632107024E-2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908</v>
      </c>
      <c r="G31" s="1118">
        <f t="shared" si="20"/>
        <v>1178</v>
      </c>
      <c r="H31" s="1117">
        <f t="shared" si="20"/>
        <v>0</v>
      </c>
      <c r="I31" s="1119">
        <f t="shared" si="20"/>
        <v>0</v>
      </c>
      <c r="J31" s="1119">
        <f t="shared" si="20"/>
        <v>0</v>
      </c>
      <c r="K31" s="1180">
        <f t="shared" si="20"/>
        <v>0</v>
      </c>
      <c r="L31" s="1119">
        <f t="shared" si="20"/>
        <v>2130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6893</v>
      </c>
      <c r="X31" s="1118">
        <f t="shared" si="21"/>
        <v>1844</v>
      </c>
      <c r="Y31" s="1125">
        <f t="shared" si="21"/>
        <v>8737</v>
      </c>
      <c r="Z31" s="1125">
        <f t="shared" si="21"/>
        <v>0</v>
      </c>
      <c r="AA31" s="1125">
        <f t="shared" si="21"/>
        <v>1400</v>
      </c>
      <c r="AB31" s="1125">
        <f t="shared" si="21"/>
        <v>6935</v>
      </c>
      <c r="AC31" s="1125">
        <f t="shared" si="21"/>
        <v>1738</v>
      </c>
      <c r="AD31" s="1125">
        <f t="shared" si="21"/>
        <v>0</v>
      </c>
      <c r="AE31" s="1127">
        <f t="shared" si="21"/>
        <v>0</v>
      </c>
      <c r="AF31" s="1128">
        <f t="shared" si="21"/>
        <v>0</v>
      </c>
      <c r="AG31" s="1129">
        <f t="shared" si="21"/>
        <v>0</v>
      </c>
      <c r="AH31" s="1127">
        <f t="shared" si="21"/>
        <v>0</v>
      </c>
      <c r="AI31" s="1117">
        <f t="shared" si="21"/>
        <v>2632</v>
      </c>
      <c r="AJ31" s="1117">
        <f t="shared" si="21"/>
        <v>0</v>
      </c>
      <c r="AK31" s="1127">
        <f t="shared" si="21"/>
        <v>0</v>
      </c>
      <c r="AL31" s="1183">
        <f>IF(ISNUMBER(NºAsuntos!G31/NºAsuntos!E31),NºAsuntos!G31/NºAsuntos!E31," - ")</f>
        <v>0.93151646668368648</v>
      </c>
      <c r="AM31" s="1184">
        <f>IF(ISNUMBER(((NºAsuntos!I31/NºAsuntos!G31)*11)/factor_trimestre),((NºAsuntos!I31/NºAsuntos!G31)*11)/factor_trimestre," - ")</f>
        <v>4.1045563549160669</v>
      </c>
      <c r="AN31" s="1184">
        <f>IF(ISNUMBER('Resol  Asuntos'!D31/NºAsuntos!G31),'Resol  Asuntos'!D31/NºAsuntos!G31," - ")</f>
        <v>0.18033573141486811</v>
      </c>
      <c r="AO31" s="1185">
        <f>IF(ISNUMBER((NºAsuntos!C31+NºAsuntos!E31)/NºAsuntos!G31),(NºAsuntos!C31+NºAsuntos!E31)/NºAsuntos!G31," - ")</f>
        <v>1.3882151421719766</v>
      </c>
      <c r="AP31" s="1186" t="str">
        <f t="shared" si="2"/>
        <v xml:space="preserve"> - </v>
      </c>
      <c r="AQ31" s="1187">
        <f>IF(OR(ISNUMBER(FIND("01",Criterios!A8,1)),ISNUMBER(FIND("02",Criterios!A8,1)),ISNUMBER(FIND("03",Criterios!A8,1)),ISNUMBER(FIND("04",Criterios!A8,1))),(I31-W31+K31)/(F31-K31),(H31-W31+K31)/(F31-K31))</f>
        <v>-7.5914096916299556</v>
      </c>
      <c r="AR31" s="1188">
        <f>IF(ISNUMBER((Datos!P31-Datos!Q31)/(Datos!R31-Datos!P31+Datos!Q31)),(Datos!P31-Datos!Q31)/(Datos!R31-Datos!P31+Datos!Q31)," - ")</f>
        <v>4.3013987065724166E-2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336.57142857142856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3.110066658430819</v>
      </c>
      <c r="F33" s="276">
        <f>IF(ISNUMBER(STDEV(F8:F30)),STDEV(F8:F30),"-")</f>
        <v>443.57306801322676</v>
      </c>
      <c r="G33" s="277">
        <f>IF(ISNUMBER(STDEV(G8:G30)),STDEV(G8:G30),"-")</f>
        <v>510.52811125436807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2966.0205583206857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712.3728959310165</v>
      </c>
      <c r="AJ33" s="276">
        <f t="shared" si="25"/>
        <v>0</v>
      </c>
      <c r="AK33" s="278">
        <f t="shared" si="25"/>
        <v>0</v>
      </c>
      <c r="AL33" s="273">
        <f t="shared" si="25"/>
        <v>6.0351985153986307E-2</v>
      </c>
      <c r="AM33" s="274">
        <f t="shared" si="25"/>
        <v>1.9455380414557517</v>
      </c>
      <c r="AN33" s="274">
        <f t="shared" si="25"/>
        <v>6.1851649279399519E-2</v>
      </c>
      <c r="AO33" s="275">
        <f t="shared" si="25"/>
        <v>0.18221785062789284</v>
      </c>
      <c r="AP33" s="317" t="str">
        <f t="shared" si="25"/>
        <v>-</v>
      </c>
      <c r="AQ33" s="318">
        <f t="shared" si="25"/>
        <v>1.834804349104836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RVkiYNwLXw+c2065KJo6LL2BRC4VKVwxDgLjI2oBjRxwxVUEXbmwZlZrR+oByFxgjsnDkWFuWkyjOYfd6BrTqg==" saltValue="NJVQnuZ8v+YMNXOEZcOa9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PATERNA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v>
      </c>
      <c r="E10" s="393">
        <f>IF(ISNUMBER((Datos!J10-Datos!T10)/Datos!T10),(Datos!J10-Datos!T10)/Datos!T10," - ")</f>
        <v>0.24161073825503357</v>
      </c>
      <c r="F10" s="393">
        <f>IF(ISNUMBER((Datos!K10-Datos!U10)/Datos!U10),(Datos!K10-Datos!U10)/Datos!U10," - ")</f>
        <v>0.15068493150684931</v>
      </c>
      <c r="G10" s="394">
        <f>IF(ISNUMBER((Datos!L10-Datos!V10)/Datos!V10),(Datos!L10-Datos!V10)/Datos!V10," - ")</f>
        <v>0.51515151515151514</v>
      </c>
      <c r="H10" s="244">
        <f>IF(ISNUMBER((Datos!M10-Datos!W10)/Datos!W10),(Datos!M10-Datos!W10)/Datos!W10," - ")</f>
        <v>-0.265625</v>
      </c>
      <c r="I10" s="395">
        <f>IF(ISNUMBER((Tasas!C10-Datos!BE10)/Datos!BE10),(Tasas!C10-Datos!BE10)/Datos!BE10," - ")</f>
        <v>0.31673881673881682</v>
      </c>
      <c r="J10" s="394">
        <f>IF(ISNUMBER((Tasas!D10-Datos!BF10)/Datos!BF10),(Tasas!D10-Datos!BF10)/Datos!BF10," - ")</f>
        <v>-0.36179315476190471</v>
      </c>
      <c r="K10" s="396">
        <f>IF(ISNUMBER((Tasas!E10-Datos!BG10)/Datos!BG10),(Tasas!E10-Datos!BG10)/Datos!BG10," - ")</f>
        <v>5.839318967810591E-2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5.2387267904509281E-2</v>
      </c>
      <c r="I12" s="395">
        <f>IF(ISNUMBER((Tasas!C12-Datos!BE12)/Datos!BE12),(Tasas!C12-Datos!BE12)/Datos!BE12," - ")</f>
        <v>0.18000443306733654</v>
      </c>
      <c r="J12" s="394">
        <f>IF(ISNUMBER((Tasas!D12-Datos!BF12)/Datos!BF12),(Tasas!D12-Datos!BF12)/Datos!BF12," - ")</f>
        <v>-0.45906487394671208</v>
      </c>
      <c r="K12" s="396">
        <f>IF(ISNUMBER((Tasas!E12-Datos!BG12)/Datos!BG12),(Tasas!E12-Datos!BG12)/Datos!BG12," - ")</f>
        <v>5.2773649779591057E-2</v>
      </c>
      <c r="M12" t="e">
        <f>IF(Monitorios="SI",Datos!CE12,0)</f>
        <v>#REF!</v>
      </c>
      <c r="N12" t="e">
        <f>IF(Monitorios="SI",Datos!CF12,0)</f>
        <v>#REF!</v>
      </c>
      <c r="O12" t="e">
        <f>IF(Monitorios="SI",Datos!CG12,0)</f>
        <v>#REF!</v>
      </c>
      <c r="P12" t="e">
        <f>IF(Monitorios="SI",Datos!CH12,0)</f>
        <v>#REF!</v>
      </c>
      <c r="Q12">
        <f>IF(J_V="SI",0,Datos!AG12)</f>
        <v>195</v>
      </c>
      <c r="R12">
        <f>IF(J_V="SI",0,Datos!AH12)</f>
        <v>815</v>
      </c>
      <c r="S12">
        <f>IF(J_V="SI",0,Datos!AI12)</f>
        <v>809</v>
      </c>
      <c r="T12">
        <f>IF(J_V="SI",0,Datos!AJ12)</f>
        <v>201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3.9440203562340966E-2</v>
      </c>
      <c r="I14" s="402">
        <f>IF(ISNUMBER((Tasas!C14-Datos!BE14)/Datos!BE14),(Tasas!C14-Datos!BE14)/Datos!BE14," - ")</f>
        <v>0.17993496404744141</v>
      </c>
      <c r="J14" s="400">
        <f>IF(ISNUMBER((Tasas!D14-Datos!BF14)/Datos!BF14),(Tasas!D14-Datos!BF14)/Datos!BF14," - ")</f>
        <v>-0.45646485802869979</v>
      </c>
      <c r="K14" s="403">
        <f>IF(ISNUMBER((Tasas!E14-Datos!BG14)/Datos!BG14),(Tasas!E14-Datos!BG14)/Datos!BG14," - ")</f>
        <v>5.242175424434839E-2</v>
      </c>
      <c r="M14" t="e">
        <f>IF(Monitorios="SI",Datos!CE14,0)</f>
        <v>#REF!</v>
      </c>
      <c r="N14" t="e">
        <f>IF(Monitorios="SI",Datos!CF14,0)</f>
        <v>#REF!</v>
      </c>
      <c r="O14" t="e">
        <f>IF(Monitorios="SI",Datos!CG14,0)</f>
        <v>#REF!</v>
      </c>
      <c r="P14" t="e">
        <f>IF(Monitorios="SI",Datos!CH14,0)</f>
        <v>#REF!</v>
      </c>
      <c r="Q14">
        <f>IF(J_V="SI",0,Datos!AG14)</f>
        <v>195</v>
      </c>
      <c r="R14">
        <f>IF(J_V="SI",0,Datos!AH14)</f>
        <v>815</v>
      </c>
      <c r="S14">
        <f>IF(J_V="SI",0,Datos!AI14)</f>
        <v>809</v>
      </c>
      <c r="T14">
        <f>IF(J_V="SI",0,Datos!AJ14)</f>
        <v>201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-2.5961538461538463E-2</v>
      </c>
      <c r="E17" s="393">
        <f>IF(ISNUMBER(
   IF(D_I="SI",(Datos!J17-Datos!T17)/Datos!T17,(Datos!J17+Datos!AD17-(Datos!T17+Datos!AL17))/(Datos!T17+Datos!AL17))
     ),IF(D_I="SI",(Datos!J17-Datos!T17)/Datos!T17,(Datos!J17+Datos!AD17-(Datos!T17+Datos!AL17))/(Datos!T17+Datos!AL17))," - ")</f>
        <v>0.12538559245146072</v>
      </c>
      <c r="F17" s="393">
        <f>IF(ISNUMBER(
   IF(D_I="SI",(Datos!K17-Datos!U17)/Datos!U17,(Datos!K17+Datos!AE17-(Datos!U17+Datos!AM17))/(Datos!U17+Datos!AM17))
     ),IF(D_I="SI",(Datos!K17-Datos!U17)/Datos!U17,(Datos!K17+Datos!AE17-(Datos!U17+Datos!AM17))/(Datos!U17+Datos!AM17))," - ")</f>
        <v>5.0957715937838814E-2</v>
      </c>
      <c r="G17" s="394">
        <f>IF(ISNUMBER(
   IF(D_I="SI",(Datos!L17-Datos!V17)/Datos!V17,(Datos!L17+Datos!AF17-(Datos!V17+Datos!AN17))/(Datos!V17+Datos!AN17))
     ),IF(D_I="SI",(Datos!L17-Datos!V17)/Datos!V17,(Datos!L17+Datos!AF17-(Datos!V17+Datos!AN17))/(Datos!V17+Datos!AN17))," - ")</f>
        <v>0.24481737413622903</v>
      </c>
      <c r="H17" s="244">
        <f>IF(ISNUMBER((Datos!M17-Datos!W17)/Datos!W17),(Datos!M17-Datos!W17)/Datos!W17," - ")</f>
        <v>-0.11263467189030363</v>
      </c>
      <c r="I17" s="395">
        <f>IF(ISNUMBER((Tasas!C17-Datos!BE17)/Datos!BE17),(Tasas!C17-Datos!BE17)/Datos!BE17," - ")</f>
        <v>0.18445999801751919</v>
      </c>
      <c r="J17" s="394">
        <f>IF(ISNUMBER((Tasas!D17-Datos!BF17)/Datos!BF17),(Tasas!D17-Datos!BF17)/Datos!BF17," - ")</f>
        <v>-0.15566029474569112</v>
      </c>
      <c r="K17" s="396">
        <f>IF(ISNUMBER((Tasas!E17-Datos!BG17)/Datos!BG17),(Tasas!E17-Datos!BG17)/Datos!BG17," - ")</f>
        <v>4.7957072400089187E-2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0.43478260869565216</v>
      </c>
      <c r="E18" s="393">
        <f>IF(ISNUMBER(
   IF(D_I="SI",(Datos!J18-Datos!T18)/Datos!T18,(Datos!J18+Datos!AD18-(Datos!T18+Datos!AL18))/(Datos!T18+Datos!AL18))
     ),IF(D_I="SI",(Datos!J18-Datos!T18)/Datos!T18,(Datos!J18+Datos!AD18-(Datos!T18+Datos!AL18))/(Datos!T18+Datos!AL18))," - ")</f>
        <v>-0.11157455683003129</v>
      </c>
      <c r="F18" s="393">
        <f>IF(ISNUMBER(
   IF(D_I="SI",(Datos!K18-Datos!U18)/Datos!U18,(Datos!K18+Datos!AE18-(Datos!U18+Datos!AM18))/(Datos!U18+Datos!AM18))
     ),IF(D_I="SI",(Datos!K18-Datos!U18)/Datos!U18,(Datos!K18+Datos!AE18-(Datos!U18+Datos!AM18))/(Datos!U18+Datos!AM18))," - ")</f>
        <v>-2.9882604055496264E-2</v>
      </c>
      <c r="G18" s="394">
        <f>IF(ISNUMBER(
   IF(D_I="SI",(Datos!L18-Datos!V18)/Datos!V18,(Datos!L18+Datos!AF18-(Datos!V18+Datos!AN18))/(Datos!V18+Datos!AN18))
     ),IF(D_I="SI",(Datos!L18-Datos!V18)/Datos!V18,(Datos!L18+Datos!AF18-(Datos!V18+Datos!AN18))/(Datos!V18+Datos!AN18))," - ")</f>
        <v>-0.32575757575757575</v>
      </c>
      <c r="H18" s="244">
        <f>IF(ISNUMBER((Datos!M18-Datos!W18)/Datos!W18),(Datos!M18-Datos!W18)/Datos!W18," - ")</f>
        <v>-7.0707070707070704E-2</v>
      </c>
      <c r="I18" s="395">
        <f>IF(ISNUMBER((Tasas!C18-Datos!BE18)/Datos!BE18),(Tasas!C18-Datos!BE18)/Datos!BE18," - ")</f>
        <v>-0.30498883221655493</v>
      </c>
      <c r="J18" s="394">
        <f>IF(ISNUMBER((Tasas!D18-Datos!BF18)/Datos!BF18),(Tasas!D18-Datos!BF18)/Datos!BF18," - ")</f>
        <v>-4.2081985976375462E-2</v>
      </c>
      <c r="K18" s="396">
        <f>IF(ISNUMBER((Tasas!E18-Datos!BG18)/Datos!BG18),(Tasas!E18-Datos!BG18)/Datos!BG18," - ")</f>
        <v>-3.4909390082681048E-2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1.1484098939929329E-2</v>
      </c>
      <c r="E23" s="399">
        <f>IF(ISNUMBER(
   IF(D_I="SI",(Datos!J23-Datos!T23)/Datos!T23,(Datos!J23+Datos!AD23-(Datos!T23+Datos!AL23))/(Datos!T23+Datos!AL23))
     ),IF(D_I="SI",(Datos!J23-Datos!T23)/Datos!T23,(Datos!J23+Datos!AD23-(Datos!T23+Datos!AL23))/(Datos!T23+Datos!AL23))," - ")</f>
        <v>9.0262751159196297E-2</v>
      </c>
      <c r="F23" s="399">
        <f>IF(ISNUMBER(
   IF(D_I="SI",(Datos!K23-Datos!U23)/Datos!U23,(Datos!K23+Datos!AE23-(Datos!U23+Datos!AM23))/(Datos!U23+Datos!AM23))
     ),IF(D_I="SI",(Datos!K23-Datos!U23)/Datos!U23,(Datos!K23+Datos!AE23-(Datos!U23+Datos!AM23))/(Datos!U23+Datos!AM23))," - ")</f>
        <v>3.9252047596971103E-2</v>
      </c>
      <c r="G23" s="400">
        <f>IF(ISNUMBER(
   IF(D_I="SI",(Datos!L23-Datos!V23)/Datos!V23,(Datos!L23+Datos!AF23-(Datos!V23+Datos!AN23))/(Datos!V23+Datos!AN23))
     ),IF(D_I="SI",(Datos!L23-Datos!V23)/Datos!V23,(Datos!L23+Datos!AF23-(Datos!V23+Datos!AN23))/(Datos!V23+Datos!AN23))," - ")</f>
        <v>0.17903930131004367</v>
      </c>
      <c r="H23" s="401">
        <f>IF(ISNUMBER((Datos!M23-Datos!W23)/Datos!W23),(Datos!M23-Datos!W23)/Datos!W23," - ")</f>
        <v>-0.10892857142857143</v>
      </c>
      <c r="I23" s="402">
        <f>IF(ISNUMBER((Tasas!C23-Datos!BE23)/Datos!BE23),(Tasas!C23-Datos!BE23)/Datos!BE23," - ")</f>
        <v>0.13450755669550826</v>
      </c>
      <c r="J23" s="400">
        <f>IF(ISNUMBER((Tasas!D23-Datos!BF23)/Datos!BF23),(Tasas!D23-Datos!BF23)/Datos!BF23," - ")</f>
        <v>-0.14258390865639931</v>
      </c>
      <c r="K23" s="403">
        <f>IF(ISNUMBER((Tasas!E23-Datos!BG23)/Datos!BG23),(Tasas!E23-Datos!BG23)/Datos!BG23," - ")</f>
        <v>3.7796334167588375E-2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-6.2078823769654894E-2</v>
      </c>
      <c r="E31" s="409">
        <f>IF(ISNUMBER(
   IF(J_V="SI",(Datos!J31-Datos!T31)/Datos!T31,(Datos!J31+Datos!Z31-(Datos!T31+Datos!AH31))/(Datos!T31+Datos!AH31))
     ),IF(J_V="SI",(Datos!J31-Datos!T31)/Datos!T31,(Datos!J31+Datos!Z31-(Datos!T31+Datos!AH31))/(Datos!T31+Datos!AH31))," - ")</f>
        <v>0.11207324863368585</v>
      </c>
      <c r="F31" s="409">
        <f>IF(ISNUMBER(
   IF(J_V="SI",(Datos!K31-Datos!U31)/Datos!U31,(Datos!K31+Datos!AA31-(Datos!U31+Datos!AI31))/(Datos!U31+Datos!AI31))
     ),IF(J_V="SI",(Datos!K31-Datos!U31)/Datos!U31,(Datos!K31+Datos!AA31-(Datos!U31+Datos!AI31))/(Datos!U31+Datos!AI31))," - ")</f>
        <v>2.1486562150055993E-2</v>
      </c>
      <c r="G31" s="410">
        <f>IF(ISNUMBER(
   IF(J_V="SI",(Datos!L31-Datos!V31)/Datos!V31,(Datos!L31+Datos!AB31-(Datos!V31+Datos!AJ31))/(Datos!V31+Datos!AJ31))
     ),IF(J_V="SI",(Datos!L31-Datos!V31)/Datos!V31,(Datos!L31+Datos!AB31-(Datos!V31+Datos!AJ31))/(Datos!V31+Datos!AJ31))," - ")</f>
        <v>0.1857173960374483</v>
      </c>
      <c r="H31" s="411">
        <f>IF(ISNUMBER((Datos!M31-Datos!W31)/Datos!W31),(Datos!M31-Datos!W31)/Datos!W31," - ")</f>
        <v>-2.2288261515601784E-2</v>
      </c>
      <c r="I31" s="408">
        <f>IF(ISNUMBER((Tasas!C31-Datos!BE31)/Datos!BE31),(Tasas!C31-Datos!BE31)/Datos!BE31," - ")</f>
        <v>0.16077630384262145</v>
      </c>
      <c r="J31" s="409">
        <f>IF(ISNUMBER((Tasas!D31-Datos!BF31)/Datos!BF31),(Tasas!D31-Datos!BF31)/Datos!BF31," - ")</f>
        <v>-0.37247030432156958</v>
      </c>
      <c r="K31" s="410">
        <f>IF(ISNUMBER((Tasas!E31-Datos!BG31)/Datos!BG31),(Tasas!E31-Datos!BG31)/Datos!BG31," - ")</f>
        <v>4.4707571439650429E-2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0.20989079348130957</v>
      </c>
      <c r="E33" s="303">
        <f t="shared" si="1"/>
        <v>0.14699103589551379</v>
      </c>
      <c r="F33" s="303">
        <f t="shared" si="1"/>
        <v>7.4397143822706902E-2</v>
      </c>
      <c r="G33" s="304">
        <f t="shared" si="1"/>
        <v>0.35093713618843803</v>
      </c>
      <c r="H33" s="310">
        <f t="shared" si="1"/>
        <v>0.11679459174910728</v>
      </c>
      <c r="I33" s="302">
        <f t="shared" si="1"/>
        <v>0.21481920743048685</v>
      </c>
      <c r="J33" s="303">
        <f t="shared" si="1"/>
        <v>0.17899429131018121</v>
      </c>
      <c r="K33" s="304">
        <f t="shared" si="1"/>
        <v>3.5288567072823823E-2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Rj5bcNtWN/7n2k0vdVt3dwfORJOVy1CV0I61OVJ0uZmiweG0CEGUrVSudEXkcqoTUQ4KRwTuulEsX+d5xZb2w==" saltValue="j9o464KHQJYHiojdMJJXU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